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urlr\Downloads\"/>
    </mc:Choice>
  </mc:AlternateContent>
  <xr:revisionPtr revIDLastSave="0" documentId="13_ncr:1_{F65C5DE9-3E8B-4128-9829-ED8C0233A48D}" xr6:coauthVersionLast="47" xr6:coauthVersionMax="47" xr10:uidLastSave="{00000000-0000-0000-0000-000000000000}"/>
  <bookViews>
    <workbookView xWindow="-110" yWindow="-110" windowWidth="19420" windowHeight="10560" tabRatio="794" activeTab="1" xr2:uid="{00000000-000D-0000-FFFF-FFFF00000000}"/>
  </bookViews>
  <sheets>
    <sheet name="Box volume" sheetId="1" r:id="rId1"/>
    <sheet name="Tank volume" sheetId="2" r:id="rId2"/>
    <sheet name="K factors" sheetId="4" r:id="rId3"/>
    <sheet name="Drum or reel capacity" sheetId="3" r:id="rId4"/>
    <sheet name="OLD FORMULA GALLON" sheetId="5" r:id="rId5"/>
    <sheet name="Gallons US Imperial Litres" sheetId="6" r:id="rId6"/>
    <sheet name="STAIR LENGTH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0" i="1"/>
  <c r="G29" i="1"/>
  <c r="G25" i="1"/>
  <c r="G26" i="1" s="1"/>
  <c r="F33" i="2"/>
  <c r="F32" i="2"/>
  <c r="F29" i="2"/>
  <c r="F28" i="2"/>
  <c r="F24" i="2"/>
  <c r="F25" i="2"/>
  <c r="G17" i="1"/>
  <c r="G18" i="1" s="1"/>
  <c r="I7" i="1"/>
  <c r="I8" i="1" s="1"/>
  <c r="G7" i="1"/>
  <c r="G8" i="1" s="1"/>
  <c r="D5" i="3"/>
  <c r="A2" i="4"/>
  <c r="B2" i="4" s="1"/>
  <c r="A21" i="4"/>
  <c r="B21" i="4" s="1"/>
  <c r="C12" i="6"/>
  <c r="C11" i="6"/>
  <c r="C8" i="6"/>
  <c r="C7" i="6"/>
  <c r="C3" i="6"/>
  <c r="C55" i="4"/>
  <c r="C54" i="4"/>
  <c r="C53" i="4"/>
  <c r="C52" i="4"/>
  <c r="C51" i="4"/>
  <c r="C50" i="4"/>
  <c r="C49" i="4"/>
  <c r="C47" i="4"/>
  <c r="C46" i="4"/>
  <c r="C45" i="4"/>
  <c r="C44" i="4"/>
  <c r="C43" i="4"/>
  <c r="C42" i="4"/>
  <c r="C41" i="4"/>
  <c r="C39" i="4"/>
  <c r="C38" i="4"/>
  <c r="C37" i="4"/>
  <c r="C36" i="4"/>
  <c r="C35" i="4"/>
  <c r="C34" i="4"/>
  <c r="C33" i="4"/>
  <c r="C31" i="4"/>
  <c r="C30" i="4"/>
  <c r="C29" i="4"/>
  <c r="C28" i="4"/>
  <c r="C27" i="4"/>
  <c r="C26" i="4"/>
  <c r="C25" i="4"/>
  <c r="A40" i="4"/>
  <c r="C40" i="4"/>
  <c r="C56" i="4"/>
  <c r="C48" i="4"/>
  <c r="C32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8" i="4"/>
  <c r="C9" i="4"/>
  <c r="C7" i="4"/>
  <c r="C6" i="4"/>
  <c r="C5" i="4"/>
  <c r="C4" i="4"/>
  <c r="C3" i="4"/>
  <c r="C2" i="4"/>
  <c r="A52" i="4"/>
  <c r="B52" i="4"/>
  <c r="A53" i="4"/>
  <c r="B53" i="4" s="1"/>
  <c r="A44" i="4"/>
  <c r="B44" i="4" s="1"/>
  <c r="A45" i="4"/>
  <c r="B45" i="4" s="1"/>
  <c r="A46" i="4"/>
  <c r="B46" i="4"/>
  <c r="A15" i="4"/>
  <c r="B15" i="4" s="1"/>
  <c r="A13" i="4"/>
  <c r="B13" i="4"/>
  <c r="A11" i="4"/>
  <c r="B11" i="4" s="1"/>
  <c r="A3" i="4"/>
  <c r="B3" i="4"/>
  <c r="A4" i="4"/>
  <c r="B4" i="4" s="1"/>
  <c r="A5" i="4"/>
  <c r="B5" i="4"/>
  <c r="A6" i="4"/>
  <c r="B6" i="4" s="1"/>
  <c r="A7" i="4"/>
  <c r="B7" i="4"/>
  <c r="A8" i="4"/>
  <c r="B8" i="4" s="1"/>
  <c r="A9" i="4"/>
  <c r="B9" i="4"/>
  <c r="A10" i="4"/>
  <c r="B10" i="4" s="1"/>
  <c r="A12" i="4"/>
  <c r="B12" i="4"/>
  <c r="A14" i="4"/>
  <c r="B14" i="4" s="1"/>
  <c r="A16" i="4"/>
  <c r="B16" i="4"/>
  <c r="A17" i="4"/>
  <c r="B17" i="4" s="1"/>
  <c r="A18" i="4"/>
  <c r="B18" i="4"/>
  <c r="A19" i="4"/>
  <c r="B19" i="4" s="1"/>
  <c r="A20" i="4"/>
  <c r="B20" i="4" s="1"/>
  <c r="A22" i="4"/>
  <c r="B22" i="4" s="1"/>
  <c r="A23" i="4"/>
  <c r="B23" i="4"/>
  <c r="A24" i="4"/>
  <c r="B24" i="4" s="1"/>
  <c r="A25" i="4"/>
  <c r="B25" i="4"/>
  <c r="A26" i="4"/>
  <c r="B26" i="4" s="1"/>
  <c r="A27" i="4"/>
  <c r="B27" i="4"/>
  <c r="A28" i="4"/>
  <c r="B28" i="4" s="1"/>
  <c r="A29" i="4"/>
  <c r="B29" i="4" s="1"/>
  <c r="A30" i="4"/>
  <c r="B30" i="4" s="1"/>
  <c r="A31" i="4"/>
  <c r="B31" i="4"/>
  <c r="A32" i="4"/>
  <c r="B32" i="4" s="1"/>
  <c r="A33" i="4"/>
  <c r="B33" i="4"/>
  <c r="A34" i="4"/>
  <c r="B34" i="4" s="1"/>
  <c r="A35" i="4"/>
  <c r="B35" i="4"/>
  <c r="A36" i="4"/>
  <c r="B36" i="4" s="1"/>
  <c r="A37" i="4"/>
  <c r="B37" i="4" s="1"/>
  <c r="A38" i="4"/>
  <c r="B38" i="4" s="1"/>
  <c r="A39" i="4"/>
  <c r="B39" i="4"/>
  <c r="B40" i="4"/>
  <c r="A41" i="4"/>
  <c r="B41" i="4"/>
  <c r="A42" i="4"/>
  <c r="B42" i="4" s="1"/>
  <c r="A43" i="4"/>
  <c r="B43" i="4"/>
  <c r="A47" i="4"/>
  <c r="B47" i="4" s="1"/>
  <c r="A48" i="4"/>
  <c r="B48" i="4"/>
  <c r="A49" i="4"/>
  <c r="B49" i="4" s="1"/>
  <c r="A50" i="4"/>
  <c r="B50" i="4"/>
  <c r="A51" i="4"/>
  <c r="B51" i="4" s="1"/>
  <c r="A54" i="4"/>
  <c r="B54" i="4"/>
  <c r="A55" i="4"/>
  <c r="B55" i="4" s="1"/>
  <c r="A56" i="4"/>
  <c r="B56" i="4"/>
  <c r="D8" i="7"/>
  <c r="D3" i="7" s="1"/>
  <c r="F15" i="2"/>
  <c r="F16" i="2"/>
  <c r="F17" i="2" s="1"/>
  <c r="F18" i="2"/>
  <c r="H6" i="2"/>
  <c r="F6" i="2"/>
  <c r="F7" i="2" s="1"/>
  <c r="H7" i="2"/>
  <c r="H9" i="2" s="1"/>
  <c r="G19" i="1" l="1"/>
  <c r="G20" i="1"/>
  <c r="G10" i="1"/>
  <c r="G9" i="1"/>
  <c r="I9" i="1"/>
  <c r="I10" i="1"/>
  <c r="H8" i="2"/>
  <c r="F9" i="2"/>
  <c r="F8" i="2"/>
  <c r="J5" i="3"/>
  <c r="G14" i="3" s="1"/>
  <c r="G15" i="3" s="1"/>
</calcChain>
</file>

<file path=xl/sharedStrings.xml><?xml version="1.0" encoding="utf-8"?>
<sst xmlns="http://schemas.openxmlformats.org/spreadsheetml/2006/main" count="131" uniqueCount="44">
  <si>
    <t>Metres</t>
  </si>
  <si>
    <t>Feet</t>
  </si>
  <si>
    <t>Enter height</t>
  </si>
  <si>
    <t>metres</t>
  </si>
  <si>
    <t>feet</t>
  </si>
  <si>
    <t>Enter width</t>
  </si>
  <si>
    <t>Enter length</t>
  </si>
  <si>
    <t>Volume is</t>
  </si>
  <si>
    <t>m³</t>
  </si>
  <si>
    <t>ft³</t>
  </si>
  <si>
    <t>or…</t>
  </si>
  <si>
    <t>litres</t>
  </si>
  <si>
    <t>US gallons</t>
  </si>
  <si>
    <t>or</t>
  </si>
  <si>
    <t>Imp. gallons</t>
  </si>
  <si>
    <t>Inches</t>
  </si>
  <si>
    <t>inches</t>
  </si>
  <si>
    <t>in³</t>
  </si>
  <si>
    <t>Property of Boart Longyear Inc. © 1998.  Unauthorized reproduction without express permission prohibited.</t>
  </si>
  <si>
    <t>Enter diameter</t>
  </si>
  <si>
    <t>Rope diameter</t>
  </si>
  <si>
    <t>K factor is…</t>
  </si>
  <si>
    <t>B</t>
  </si>
  <si>
    <t>C</t>
  </si>
  <si>
    <t>H</t>
  </si>
  <si>
    <t>M</t>
  </si>
  <si>
    <t>Length of rope</t>
  </si>
  <si>
    <t>Nominal Rope Diameter</t>
  </si>
  <si>
    <t>K</t>
  </si>
  <si>
    <t>TO CALCULATE THE GALLON IN A SQUARE BOX</t>
  </si>
  <si>
    <t>1;WITH X HEIGHT X LENGTH X 6.25     FOR FEET=GALLON</t>
  </si>
  <si>
    <t xml:space="preserve">2;""       X    "        X     "         \ 1728 X 6.25  FOR  INCHES  ONLY  =GALLON   </t>
  </si>
  <si>
    <t>T0 CALCULATE ROUND TANK</t>
  </si>
  <si>
    <t>3; DIAMETER IN SQUARE X2 X 0.7854 X LENGTH \1728 X 6.25 = GALLON</t>
  </si>
  <si>
    <t>EXAMPLE</t>
  </si>
  <si>
    <t>1;    3FTX3.5FTX3FTX6.25= 196.8 GALLONS</t>
  </si>
  <si>
    <t>2;    36 INCHES X42 INCHES X36 INCHES \1728 X6.25 = 196.8 GALLON</t>
  </si>
  <si>
    <t>3;    36 INCHES ROUND X36 X 0.7854 X 36 \1728 X6.25 = 132.5 GALLON</t>
  </si>
  <si>
    <t>Imperial gallons</t>
  </si>
  <si>
    <t>imperial gallons</t>
  </si>
  <si>
    <t>stair length is…</t>
  </si>
  <si>
    <t>angle is…</t>
  </si>
  <si>
    <t>height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</si>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</sst>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0000"/>
    <numFmt numFmtId="168" formatCode="0.0000"/>
    <numFmt numFmtId="169" formatCode="0.000"/>
    <numFmt numFmtId="170" formatCode="0.0"/>
  </numFmts>
  <fonts count="2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22"/>
      <name val="Arial"/>
      <family val="2"/>
    </font>
    <font>
      <sz val="6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color indexed="11"/>
      <name val="Arial"/>
      <family val="2"/>
    </font>
    <font>
      <sz val="18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3" borderId="0" xfId="0" applyFont="1" applyFill="1" applyAlignment="1">
      <alignment horizont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2" fontId="8" fillId="4" borderId="1" xfId="0" applyNumberFormat="1" applyFont="1" applyFill="1" applyBorder="1" applyAlignment="1">
      <alignment horizontal="center"/>
    </xf>
    <xf numFmtId="170" fontId="8" fillId="4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165" fontId="8" fillId="4" borderId="1" xfId="1" applyNumberFormat="1" applyFont="1" applyFill="1" applyBorder="1"/>
    <xf numFmtId="165" fontId="8" fillId="4" borderId="1" xfId="1" applyNumberFormat="1" applyFont="1" applyFill="1" applyBorder="1" applyAlignment="1">
      <alignment horizontal="center"/>
    </xf>
    <xf numFmtId="170" fontId="6" fillId="0" borderId="0" xfId="0" applyNumberFormat="1" applyFont="1"/>
    <xf numFmtId="170" fontId="0" fillId="0" borderId="0" xfId="0" applyNumberFormat="1"/>
    <xf numFmtId="170" fontId="8" fillId="4" borderId="1" xfId="1" applyNumberFormat="1" applyFont="1" applyFill="1" applyBorder="1" applyAlignment="1">
      <alignment horizontal="center"/>
    </xf>
    <xf numFmtId="170" fontId="8" fillId="4" borderId="1" xfId="1" applyNumberFormat="1" applyFont="1" applyFill="1" applyBorder="1"/>
    <xf numFmtId="165" fontId="6" fillId="0" borderId="0" xfId="0" applyNumberFormat="1" applyFont="1"/>
    <xf numFmtId="165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/>
    <xf numFmtId="168" fontId="0" fillId="0" borderId="0" xfId="0" applyNumberFormat="1"/>
    <xf numFmtId="0" fontId="1" fillId="2" borderId="1" xfId="0" applyFont="1" applyFill="1" applyBorder="1" applyAlignment="1">
      <alignment horizontal="center"/>
    </xf>
    <xf numFmtId="167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166" fontId="1" fillId="0" borderId="3" xfId="1" applyNumberFormat="1" applyFont="1" applyBorder="1" applyAlignment="1"/>
    <xf numFmtId="166" fontId="1" fillId="0" borderId="4" xfId="1" applyNumberFormat="1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5" fillId="0" borderId="0" xfId="0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0" fontId="1" fillId="0" borderId="0" xfId="0" applyFont="1" applyAlignment="1">
      <alignment horizontal="right"/>
    </xf>
    <xf numFmtId="2" fontId="18" fillId="2" borderId="1" xfId="0" applyNumberFormat="1" applyFont="1" applyFill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169" fontId="0" fillId="0" borderId="0" xfId="0" applyNumberFormat="1"/>
    <xf numFmtId="2" fontId="0" fillId="0" borderId="4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8" fillId="4" borderId="0" xfId="0" applyNumberFormat="1" applyFont="1" applyFill="1" applyAlignment="1">
      <alignment horizontal="center"/>
    </xf>
    <xf numFmtId="169" fontId="18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G$3" max="30000" page="10" val="2"/>
</file>

<file path=xl/ctrlProps/ctrlProp10.xml><?xml version="1.0" encoding="utf-8"?>
<formControlPr xmlns="http://schemas.microsoft.com/office/spreadsheetml/2009/9/main" objectType="Spin" dx="15" fmlaLink="$F$4" max="30000" page="10"/>
</file>

<file path=xl/ctrlProps/ctrlProp11.xml><?xml version="1.0" encoding="utf-8"?>
<formControlPr xmlns="http://schemas.microsoft.com/office/spreadsheetml/2009/9/main" objectType="Spin" dx="15" fmlaLink="$F$3" max="30000" page="10"/>
</file>

<file path=xl/ctrlProps/ctrlProp12.xml><?xml version="1.0" encoding="utf-8"?>
<formControlPr xmlns="http://schemas.microsoft.com/office/spreadsheetml/2009/9/main" objectType="Spin" dx="15" fmlaLink="$H$3" max="30000" page="10" val="2"/>
</file>

<file path=xl/ctrlProps/ctrlProp13.xml><?xml version="1.0" encoding="utf-8"?>
<formControlPr xmlns="http://schemas.microsoft.com/office/spreadsheetml/2009/9/main" objectType="Spin" dx="15" fmlaLink="$H$4" max="30000" page="10" val="13"/>
</file>

<file path=xl/ctrlProps/ctrlProp14.xml><?xml version="1.0" encoding="utf-8"?>
<formControlPr xmlns="http://schemas.microsoft.com/office/spreadsheetml/2009/9/main" objectType="Spin" dx="15" fmlaLink="$F$12" max="30000" page="10"/>
</file>

<file path=xl/ctrlProps/ctrlProp15.xml><?xml version="1.0" encoding="utf-8"?>
<formControlPr xmlns="http://schemas.microsoft.com/office/spreadsheetml/2009/9/main" objectType="Spin" dx="15" fmlaLink="$F$13" max="30000" page="10" val="1200"/>
</file>

<file path=xl/ctrlProps/ctrlProp16.xml><?xml version="1.0" encoding="utf-8"?>
<formControlPr xmlns="http://schemas.microsoft.com/office/spreadsheetml/2009/9/main" objectType="Drop" dropStyle="combo" dx="22" fmlaLink="$G$5" fmlaRange="'K factors'!$C$2:$C$56" sel="20" val="19"/>
</file>

<file path=xl/ctrlProps/ctrlProp2.xml><?xml version="1.0" encoding="utf-8"?>
<formControlPr xmlns="http://schemas.microsoft.com/office/spreadsheetml/2009/9/main" objectType="Spin" dx="15" fmlaLink="$G$4" max="30000" page="10" val="3"/>
</file>

<file path=xl/ctrlProps/ctrlProp3.xml><?xml version="1.0" encoding="utf-8"?>
<formControlPr xmlns="http://schemas.microsoft.com/office/spreadsheetml/2009/9/main" objectType="Spin" dx="15" fmlaLink="$G$5" max="30000" page="10" val="3"/>
</file>

<file path=xl/ctrlProps/ctrlProp4.xml><?xml version="1.0" encoding="utf-8"?>
<formControlPr xmlns="http://schemas.microsoft.com/office/spreadsheetml/2009/9/main" objectType="Spin" dx="15" fmlaLink="$I$3" max="30000" page="10" val="2"/>
</file>

<file path=xl/ctrlProps/ctrlProp5.xml><?xml version="1.0" encoding="utf-8"?>
<formControlPr xmlns="http://schemas.microsoft.com/office/spreadsheetml/2009/9/main" objectType="Spin" dx="15" fmlaLink="$I$4" max="30000" page="10" val="32"/>
</file>

<file path=xl/ctrlProps/ctrlProp6.xml><?xml version="1.0" encoding="utf-8"?>
<formControlPr xmlns="http://schemas.microsoft.com/office/spreadsheetml/2009/9/main" objectType="Spin" dx="15" fmlaLink="$I$5" max="30000" page="10" val="40"/>
</file>

<file path=xl/ctrlProps/ctrlProp7.xml><?xml version="1.0" encoding="utf-8"?>
<formControlPr xmlns="http://schemas.microsoft.com/office/spreadsheetml/2009/9/main" objectType="Spin" dx="15" fmlaLink="$G$13" max="30000" page="10" val="12"/>
</file>

<file path=xl/ctrlProps/ctrlProp8.xml><?xml version="1.0" encoding="utf-8"?>
<formControlPr xmlns="http://schemas.microsoft.com/office/spreadsheetml/2009/9/main" objectType="Spin" dx="15" fmlaLink="$G$14" max="30000" page="10" val="50"/>
</file>

<file path=xl/ctrlProps/ctrlProp9.xml><?xml version="1.0" encoding="utf-8"?>
<formControlPr xmlns="http://schemas.microsoft.com/office/spreadsheetml/2009/9/main" objectType="Spin" dx="15" fmlaLink="$G$15" max="30000" page="10" val="23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28575</xdr:rowOff>
    </xdr:from>
    <xdr:to>
      <xdr:col>3</xdr:col>
      <xdr:colOff>457200</xdr:colOff>
      <xdr:row>10</xdr:row>
      <xdr:rowOff>0</xdr:rowOff>
    </xdr:to>
    <xdr:grpSp>
      <xdr:nvGrpSpPr>
        <xdr:cNvPr id="1054" name="Group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GrpSpPr>
          <a:grpSpLocks/>
        </xdr:cNvGrpSpPr>
      </xdr:nvGrpSpPr>
      <xdr:grpSpPr bwMode="auto">
        <a:xfrm>
          <a:off x="85725" y="85725"/>
          <a:ext cx="2295525" cy="2238375"/>
          <a:chOff x="-5731" y="-386"/>
          <a:chExt cx="24024" cy="1773"/>
        </a:xfrm>
      </xdr:grpSpPr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-5731" y="-386"/>
            <a:ext cx="24024" cy="1773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026" name="Rectangl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-2819" y="-116"/>
            <a:ext cx="13416" cy="1098"/>
          </a:xfrm>
          <a:prstGeom prst="rect">
            <a:avLst/>
          </a:prstGeom>
          <a:noFill/>
          <a:ln w="1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027" name="Lin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97" y="469"/>
            <a:ext cx="4680" cy="513"/>
          </a:xfrm>
          <a:prstGeom prst="line">
            <a:avLst/>
          </a:prstGeom>
          <a:noFill/>
          <a:ln w="1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8" name="Lin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97" y="-251"/>
            <a:ext cx="4680" cy="135"/>
          </a:xfrm>
          <a:prstGeom prst="line">
            <a:avLst/>
          </a:prstGeom>
          <a:noFill/>
          <a:ln w="1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277" y="-251"/>
            <a:ext cx="0" cy="720"/>
          </a:xfrm>
          <a:prstGeom prst="line">
            <a:avLst/>
          </a:prstGeom>
          <a:noFill/>
          <a:ln w="1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0" name="Line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-2819" y="-251"/>
            <a:ext cx="7176" cy="135"/>
          </a:xfrm>
          <a:prstGeom prst="line">
            <a:avLst/>
          </a:prstGeom>
          <a:noFill/>
          <a:ln w="1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1" name="Lin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ShapeType="1"/>
          </xdr:cNvSpPr>
        </xdr:nvSpPr>
        <xdr:spPr bwMode="auto">
          <a:xfrm>
            <a:off x="15173" y="-233"/>
            <a:ext cx="0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3" name="Lin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ShapeType="1"/>
          </xdr:cNvSpPr>
        </xdr:nvSpPr>
        <xdr:spPr bwMode="auto">
          <a:xfrm>
            <a:off x="4357" y="-251"/>
            <a:ext cx="10920" cy="0"/>
          </a:xfrm>
          <a:prstGeom prst="line">
            <a:avLst/>
          </a:prstGeom>
          <a:noFill/>
          <a:ln w="1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Text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027" y="1081"/>
            <a:ext cx="18200" cy="18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FR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Volume of box</a:t>
            </a:r>
          </a:p>
        </xdr:txBody>
      </xdr:sp>
      <xdr:sp macro="" textlink="">
        <xdr:nvSpPr>
          <xdr:cNvPr id="1039" name="Text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9" y="910"/>
            <a:ext cx="4888" cy="14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FR" sz="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Width</a:t>
            </a:r>
          </a:p>
        </xdr:txBody>
      </xdr:sp>
      <xdr:sp macro="" textlink="">
        <xdr:nvSpPr>
          <xdr:cNvPr id="1040" name="Text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9" y="-26"/>
            <a:ext cx="2080" cy="51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vert270" wrap="square" lIns="27432" tIns="22860" rIns="27432" bIns="22860" anchor="ctr" upright="1"/>
          <a:lstStyle/>
          <a:p>
            <a:pPr algn="ctr" rtl="0">
              <a:defRPr sz="1000"/>
            </a:pPr>
            <a:r>
              <a:rPr lang="fr-FR" sz="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Height</a:t>
            </a:r>
          </a:p>
        </xdr:txBody>
      </xdr:sp>
      <xdr:sp macro="" textlink="">
        <xdr:nvSpPr>
          <xdr:cNvPr id="1041" name="Tex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33" y="658"/>
            <a:ext cx="4992" cy="14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FR" sz="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Length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2</xdr:row>
          <xdr:rowOff>50800</xdr:rowOff>
        </xdr:from>
        <xdr:to>
          <xdr:col>6</xdr:col>
          <xdr:colOff>831850</xdr:colOff>
          <xdr:row>2</xdr:row>
          <xdr:rowOff>304800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3</xdr:row>
          <xdr:rowOff>50800</xdr:rowOff>
        </xdr:from>
        <xdr:to>
          <xdr:col>6</xdr:col>
          <xdr:colOff>831850</xdr:colOff>
          <xdr:row>3</xdr:row>
          <xdr:rowOff>304800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4</xdr:row>
          <xdr:rowOff>50800</xdr:rowOff>
        </xdr:from>
        <xdr:to>
          <xdr:col>6</xdr:col>
          <xdr:colOff>831850</xdr:colOff>
          <xdr:row>4</xdr:row>
          <xdr:rowOff>304800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698500</xdr:colOff>
          <xdr:row>2</xdr:row>
          <xdr:rowOff>50800</xdr:rowOff>
        </xdr:from>
        <xdr:to>
          <xdr:col>8</xdr:col>
          <xdr:colOff>831850</xdr:colOff>
          <xdr:row>2</xdr:row>
          <xdr:rowOff>304800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698500</xdr:colOff>
          <xdr:row>3</xdr:row>
          <xdr:rowOff>50800</xdr:rowOff>
        </xdr:from>
        <xdr:to>
          <xdr:col>8</xdr:col>
          <xdr:colOff>831850</xdr:colOff>
          <xdr:row>3</xdr:row>
          <xdr:rowOff>304800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698500</xdr:colOff>
          <xdr:row>4</xdr:row>
          <xdr:rowOff>50800</xdr:rowOff>
        </xdr:from>
        <xdr:to>
          <xdr:col>8</xdr:col>
          <xdr:colOff>831850</xdr:colOff>
          <xdr:row>4</xdr:row>
          <xdr:rowOff>304800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50800</xdr:rowOff>
        </xdr:from>
        <xdr:to>
          <xdr:col>6</xdr:col>
          <xdr:colOff>831850</xdr:colOff>
          <xdr:row>13</xdr:row>
          <xdr:rowOff>12700</xdr:rowOff>
        </xdr:to>
        <xdr:sp macro="" textlink="">
          <xdr:nvSpPr>
            <xdr:cNvPr id="1061" name="Spinner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13</xdr:row>
          <xdr:rowOff>50800</xdr:rowOff>
        </xdr:from>
        <xdr:to>
          <xdr:col>6</xdr:col>
          <xdr:colOff>831850</xdr:colOff>
          <xdr:row>14</xdr:row>
          <xdr:rowOff>12700</xdr:rowOff>
        </xdr:to>
        <xdr:sp macro="" textlink="">
          <xdr:nvSpPr>
            <xdr:cNvPr id="1062" name="Spinner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14</xdr:row>
          <xdr:rowOff>50800</xdr:rowOff>
        </xdr:from>
        <xdr:to>
          <xdr:col>6</xdr:col>
          <xdr:colOff>831850</xdr:colOff>
          <xdr:row>15</xdr:row>
          <xdr:rowOff>12700</xdr:rowOff>
        </xdr:to>
        <xdr:sp macro="" textlink="">
          <xdr:nvSpPr>
            <xdr:cNvPr id="1063" name="Spinner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0</xdr:rowOff>
    </xdr:from>
    <xdr:to>
      <xdr:col>3</xdr:col>
      <xdr:colOff>95250</xdr:colOff>
      <xdr:row>10</xdr:row>
      <xdr:rowOff>76200</xdr:rowOff>
    </xdr:to>
    <xdr:grpSp>
      <xdr:nvGrpSpPr>
        <xdr:cNvPr id="2080" name="Group 32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GrpSpPr>
          <a:grpSpLocks/>
        </xdr:cNvGrpSpPr>
      </xdr:nvGrpSpPr>
      <xdr:grpSpPr bwMode="auto">
        <a:xfrm>
          <a:off x="95250" y="76200"/>
          <a:ext cx="2279650" cy="1898650"/>
          <a:chOff x="-5839" y="-7"/>
          <a:chExt cx="24624" cy="1608"/>
        </a:xfrm>
      </xdr:grpSpPr>
      <xdr:sp macro="" textlink="">
        <xdr:nvSpPr>
          <xdr:cNvPr id="2056" name="Rectangle 8">
            <a:extLst>
              <a:ext uri="{FF2B5EF4-FFF2-40B4-BE49-F238E27FC236}">
                <a16:creationId xmlns:a16="http://schemas.microsoft.com/office/drawing/2014/main" id="{00000000-0008-0000-0100-000008080000}"/>
              </a:ext>
            </a:extLst>
          </xdr:cNvPr>
          <xdr:cNvSpPr>
            <a:spLocks noChangeArrowheads="1"/>
          </xdr:cNvSpPr>
        </xdr:nvSpPr>
        <xdr:spPr bwMode="auto">
          <a:xfrm>
            <a:off x="-5839" y="-7"/>
            <a:ext cx="24624" cy="1608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Picture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-3139" y="129"/>
                <a:ext cx="18900" cy="1112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057" name="Text 9">
            <a:extLst>
              <a:ext uri="{FF2B5EF4-FFF2-40B4-BE49-F238E27FC236}">
                <a16:creationId xmlns:a16="http://schemas.microsoft.com/office/drawing/2014/main" id="{00000000-0008-0000-01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4327" y="1297"/>
            <a:ext cx="21924" cy="2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FR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Volume of cylindrical tank</a:t>
            </a:r>
          </a:p>
        </xdr:txBody>
      </xdr:sp>
      <xdr:sp macro="" textlink="">
        <xdr:nvSpPr>
          <xdr:cNvPr id="2058" name="Line 10">
            <a:extLst>
              <a:ext uri="{FF2B5EF4-FFF2-40B4-BE49-F238E27FC236}">
                <a16:creationId xmlns:a16="http://schemas.microsoft.com/office/drawing/2014/main" id="{00000000-0008-0000-0100-00000A080000}"/>
              </a:ext>
            </a:extLst>
          </xdr:cNvPr>
          <xdr:cNvSpPr>
            <a:spLocks noChangeShapeType="1"/>
          </xdr:cNvSpPr>
        </xdr:nvSpPr>
        <xdr:spPr bwMode="auto">
          <a:xfrm>
            <a:off x="-1087" y="769"/>
            <a:ext cx="1015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9" name="Text 11">
            <a:extLst>
              <a:ext uri="{FF2B5EF4-FFF2-40B4-BE49-F238E27FC236}">
                <a16:creationId xmlns:a16="http://schemas.microsoft.com/office/drawing/2014/main" id="{00000000-0008-0000-0100-00000B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" y="721"/>
            <a:ext cx="7344" cy="10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FR" sz="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Diameter</a:t>
            </a:r>
          </a:p>
        </xdr:txBody>
      </xdr:sp>
      <xdr:sp macro="" textlink="">
        <xdr:nvSpPr>
          <xdr:cNvPr id="2061" name="Line 13">
            <a:extLst>
              <a:ext uri="{FF2B5EF4-FFF2-40B4-BE49-F238E27FC236}">
                <a16:creationId xmlns:a16="http://schemas.microsoft.com/office/drawing/2014/main" id="{00000000-0008-0000-0100-00000D0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257" y="769"/>
            <a:ext cx="8208" cy="38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0" name="Text 12">
            <a:extLst>
              <a:ext uri="{FF2B5EF4-FFF2-40B4-BE49-F238E27FC236}">
                <a16:creationId xmlns:a16="http://schemas.microsoft.com/office/drawing/2014/main" id="{00000000-0008-0000-0100-00000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89" y="897"/>
            <a:ext cx="7344" cy="1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FR" sz="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Length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3</xdr:row>
          <xdr:rowOff>50800</xdr:rowOff>
        </xdr:from>
        <xdr:to>
          <xdr:col>5</xdr:col>
          <xdr:colOff>819150</xdr:colOff>
          <xdr:row>3</xdr:row>
          <xdr:rowOff>304800</xdr:rowOff>
        </xdr:to>
        <xdr:sp macro="" textlink="">
          <xdr:nvSpPr>
            <xdr:cNvPr id="2063" name="Spinner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2</xdr:row>
          <xdr:rowOff>50800</xdr:rowOff>
        </xdr:from>
        <xdr:to>
          <xdr:col>5</xdr:col>
          <xdr:colOff>819150</xdr:colOff>
          <xdr:row>2</xdr:row>
          <xdr:rowOff>304800</xdr:rowOff>
        </xdr:to>
        <xdr:sp macro="" textlink="">
          <xdr:nvSpPr>
            <xdr:cNvPr id="2069" name="Spinner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</xdr:row>
          <xdr:rowOff>50800</xdr:rowOff>
        </xdr:from>
        <xdr:to>
          <xdr:col>7</xdr:col>
          <xdr:colOff>819150</xdr:colOff>
          <xdr:row>2</xdr:row>
          <xdr:rowOff>304800</xdr:rowOff>
        </xdr:to>
        <xdr:sp macro="" textlink="">
          <xdr:nvSpPr>
            <xdr:cNvPr id="2070" name="Spinner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3</xdr:row>
          <xdr:rowOff>50800</xdr:rowOff>
        </xdr:from>
        <xdr:to>
          <xdr:col>7</xdr:col>
          <xdr:colOff>819150</xdr:colOff>
          <xdr:row>3</xdr:row>
          <xdr:rowOff>304800</xdr:rowOff>
        </xdr:to>
        <xdr:sp macro="" textlink="">
          <xdr:nvSpPr>
            <xdr:cNvPr id="2071" name="Spinner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11</xdr:row>
          <xdr:rowOff>38100</xdr:rowOff>
        </xdr:from>
        <xdr:to>
          <xdr:col>5</xdr:col>
          <xdr:colOff>838200</xdr:colOff>
          <xdr:row>11</xdr:row>
          <xdr:rowOff>298450</xdr:rowOff>
        </xdr:to>
        <xdr:sp macro="" textlink="">
          <xdr:nvSpPr>
            <xdr:cNvPr id="2078" name="Spinner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12</xdr:row>
          <xdr:rowOff>38100</xdr:rowOff>
        </xdr:from>
        <xdr:to>
          <xdr:col>5</xdr:col>
          <xdr:colOff>838200</xdr:colOff>
          <xdr:row>12</xdr:row>
          <xdr:rowOff>298450</xdr:rowOff>
        </xdr:to>
        <xdr:sp macro="" textlink="">
          <xdr:nvSpPr>
            <xdr:cNvPr id="2079" name="Spinner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11</xdr:row>
      <xdr:rowOff>114300</xdr:rowOff>
    </xdr:from>
    <xdr:to>
      <xdr:col>3</xdr:col>
      <xdr:colOff>200025</xdr:colOff>
      <xdr:row>11</xdr:row>
      <xdr:rowOff>114300</xdr:rowOff>
    </xdr:to>
    <xdr:sp macro="" textlink="">
      <xdr:nvSpPr>
        <xdr:cNvPr id="3091" name="Line 19">
          <a:extLst>
            <a:ext uri="{FF2B5EF4-FFF2-40B4-BE49-F238E27FC236}">
              <a16:creationId xmlns:a16="http://schemas.microsoft.com/office/drawing/2014/main" id="{00000000-0008-0000-0300-0000130C0000}"/>
            </a:ext>
          </a:extLst>
        </xdr:cNvPr>
        <xdr:cNvSpPr>
          <a:spLocks noChangeShapeType="1"/>
        </xdr:cNvSpPr>
      </xdr:nvSpPr>
      <xdr:spPr bwMode="auto">
        <a:xfrm>
          <a:off x="600075" y="1895475"/>
          <a:ext cx="1428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</xdr:row>
      <xdr:rowOff>19050</xdr:rowOff>
    </xdr:from>
    <xdr:to>
      <xdr:col>4</xdr:col>
      <xdr:colOff>228600</xdr:colOff>
      <xdr:row>17</xdr:row>
      <xdr:rowOff>47625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rrowheads="1"/>
        </xdr:cNvSpPr>
      </xdr:nvSpPr>
      <xdr:spPr bwMode="auto">
        <a:xfrm>
          <a:off x="190500" y="180975"/>
          <a:ext cx="2476500" cy="2647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523875</xdr:colOff>
      <xdr:row>2</xdr:row>
      <xdr:rowOff>28575</xdr:rowOff>
    </xdr:from>
    <xdr:to>
      <xdr:col>3</xdr:col>
      <xdr:colOff>276225</xdr:colOff>
      <xdr:row>12</xdr:row>
      <xdr:rowOff>28575</xdr:rowOff>
    </xdr:to>
    <xdr:grpSp>
      <xdr:nvGrpSpPr>
        <xdr:cNvPr id="3077" name="Group 5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GrpSpPr>
          <a:grpSpLocks/>
        </xdr:cNvGrpSpPr>
      </xdr:nvGrpSpPr>
      <xdr:grpSpPr bwMode="auto">
        <a:xfrm>
          <a:off x="523875" y="352425"/>
          <a:ext cx="1676400" cy="1638300"/>
          <a:chOff x="-947" y="-4012"/>
          <a:chExt cx="17264" cy="170"/>
        </a:xfrm>
      </xdr:grpSpPr>
      <xdr:sp macro="" textlink="">
        <xdr:nvSpPr>
          <xdr:cNvPr id="3073" name="Rectangle 1">
            <a:extLst>
              <a:ext uri="{FF2B5EF4-FFF2-40B4-BE49-F238E27FC236}">
                <a16:creationId xmlns:a16="http://schemas.microsoft.com/office/drawing/2014/main" id="{00000000-0008-0000-0300-0000010C0000}"/>
              </a:ext>
            </a:extLst>
          </xdr:cNvPr>
          <xdr:cNvSpPr>
            <a:spLocks noChangeArrowheads="1"/>
          </xdr:cNvSpPr>
        </xdr:nvSpPr>
        <xdr:spPr bwMode="auto">
          <a:xfrm>
            <a:off x="-947" y="-4012"/>
            <a:ext cx="832" cy="170"/>
          </a:xfrm>
          <a:prstGeom prst="rect">
            <a:avLst/>
          </a:prstGeom>
          <a:pattFill prst="pct50">
            <a:fgClr>
              <a:srgbClr xmlns:mc="http://schemas.openxmlformats.org/markup-compatibility/2006" xmlns:a14="http://schemas.microsoft.com/office/drawing/2010/main" val="000000" mc:Ignorable="a14" a14:legacySpreadsheetColorIndex="8"/>
            </a:fgClr>
            <a:bgClr>
              <a:srgbClr xmlns:mc="http://schemas.openxmlformats.org/markup-compatibility/2006" xmlns:a14="http://schemas.microsoft.com/office/drawing/2010/main" val="FFFFFF" mc:Ignorable="a14" a14:legacySpreadsheetColorIndex="9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74" name="Rectangle 2">
            <a:extLst>
              <a:ext uri="{FF2B5EF4-FFF2-40B4-BE49-F238E27FC236}">
                <a16:creationId xmlns:a16="http://schemas.microsoft.com/office/drawing/2014/main" id="{00000000-0008-0000-0300-0000020C0000}"/>
              </a:ext>
            </a:extLst>
          </xdr:cNvPr>
          <xdr:cNvSpPr>
            <a:spLocks noChangeArrowheads="1"/>
          </xdr:cNvSpPr>
        </xdr:nvSpPr>
        <xdr:spPr bwMode="auto">
          <a:xfrm>
            <a:off x="15485" y="-4012"/>
            <a:ext cx="832" cy="170"/>
          </a:xfrm>
          <a:prstGeom prst="rect">
            <a:avLst/>
          </a:prstGeom>
          <a:pattFill prst="pct50">
            <a:fgClr>
              <a:srgbClr xmlns:mc="http://schemas.openxmlformats.org/markup-compatibility/2006" xmlns:a14="http://schemas.microsoft.com/office/drawing/2010/main" val="000000" mc:Ignorable="a14" a14:legacySpreadsheetColorIndex="8"/>
            </a:fgClr>
            <a:bgClr>
              <a:srgbClr xmlns:mc="http://schemas.openxmlformats.org/markup-compatibility/2006" xmlns:a14="http://schemas.microsoft.com/office/drawing/2010/main" val="FFFFFF" mc:Ignorable="a14" a14:legacySpreadsheetColorIndex="9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75" name="Rectangle 3">
            <a:extLst>
              <a:ext uri="{FF2B5EF4-FFF2-40B4-BE49-F238E27FC236}">
                <a16:creationId xmlns:a16="http://schemas.microsoft.com/office/drawing/2014/main" id="{00000000-0008-0000-0300-0000030C0000}"/>
              </a:ext>
            </a:extLst>
          </xdr:cNvPr>
          <xdr:cNvSpPr>
            <a:spLocks noChangeArrowheads="1"/>
          </xdr:cNvSpPr>
        </xdr:nvSpPr>
        <xdr:spPr bwMode="auto">
          <a:xfrm>
            <a:off x="-115" y="-3963"/>
            <a:ext cx="15600" cy="68"/>
          </a:xfrm>
          <a:prstGeom prst="rect">
            <a:avLst/>
          </a:prstGeom>
          <a:pattFill prst="ltHorz">
            <a:fgClr>
              <a:srgbClr xmlns:mc="http://schemas.openxmlformats.org/markup-compatibility/2006" xmlns:a14="http://schemas.microsoft.com/office/drawing/2010/main" val="000000" mc:Ignorable="a14" a14:legacySpreadsheetColorIndex="8"/>
            </a:fgClr>
            <a:bgClr>
              <a:srgbClr xmlns:mc="http://schemas.openxmlformats.org/markup-compatibility/2006" xmlns:a14="http://schemas.microsoft.com/office/drawing/2010/main" val="FFFFFF" mc:Ignorable="a14" a14:legacySpreadsheetColorIndex="9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66675</xdr:colOff>
      <xdr:row>2</xdr:row>
      <xdr:rowOff>28575</xdr:rowOff>
    </xdr:from>
    <xdr:to>
      <xdr:col>2</xdr:col>
      <xdr:colOff>209550</xdr:colOff>
      <xdr:row>3</xdr:row>
      <xdr:rowOff>38100</xdr:rowOff>
    </xdr:to>
    <xdr:sp macro="" textlink="">
      <xdr:nvSpPr>
        <xdr:cNvPr id="3078" name="Text 6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1285875" y="352425"/>
          <a:ext cx="1428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2</xdr:col>
      <xdr:colOff>66675</xdr:colOff>
      <xdr:row>6</xdr:row>
      <xdr:rowOff>85725</xdr:rowOff>
    </xdr:from>
    <xdr:to>
      <xdr:col>2</xdr:col>
      <xdr:colOff>209550</xdr:colOff>
      <xdr:row>7</xdr:row>
      <xdr:rowOff>95250</xdr:rowOff>
    </xdr:to>
    <xdr:sp macro="" textlink="">
      <xdr:nvSpPr>
        <xdr:cNvPr id="3079" name="Text 7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 txBox="1">
          <a:spLocks noChangeArrowheads="1"/>
        </xdr:cNvSpPr>
      </xdr:nvSpPr>
      <xdr:spPr bwMode="auto">
        <a:xfrm>
          <a:off x="1285875" y="1057275"/>
          <a:ext cx="1428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2</xdr:col>
      <xdr:colOff>57150</xdr:colOff>
      <xdr:row>11</xdr:row>
      <xdr:rowOff>38100</xdr:rowOff>
    </xdr:from>
    <xdr:to>
      <xdr:col>2</xdr:col>
      <xdr:colOff>200025</xdr:colOff>
      <xdr:row>12</xdr:row>
      <xdr:rowOff>47625</xdr:rowOff>
    </xdr:to>
    <xdr:sp macro="" textlink="">
      <xdr:nvSpPr>
        <xdr:cNvPr id="3081" name="Text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SpPr txBox="1">
          <a:spLocks noChangeArrowheads="1"/>
        </xdr:cNvSpPr>
      </xdr:nvSpPr>
      <xdr:spPr bwMode="auto">
        <a:xfrm>
          <a:off x="1276350" y="1819275"/>
          <a:ext cx="1428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3</xdr:col>
      <xdr:colOff>485775</xdr:colOff>
      <xdr:row>6</xdr:row>
      <xdr:rowOff>28575</xdr:rowOff>
    </xdr:from>
    <xdr:to>
      <xdr:col>4</xdr:col>
      <xdr:colOff>19050</xdr:colOff>
      <xdr:row>7</xdr:row>
      <xdr:rowOff>38100</xdr:rowOff>
    </xdr:to>
    <xdr:sp macro="" textlink="">
      <xdr:nvSpPr>
        <xdr:cNvPr id="3082" name="Text 10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SpPr txBox="1">
          <a:spLocks noChangeArrowheads="1"/>
        </xdr:cNvSpPr>
      </xdr:nvSpPr>
      <xdr:spPr bwMode="auto">
        <a:xfrm>
          <a:off x="2314575" y="1000125"/>
          <a:ext cx="1428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3</xdr:col>
      <xdr:colOff>466725</xdr:colOff>
      <xdr:row>2</xdr:row>
      <xdr:rowOff>38100</xdr:rowOff>
    </xdr:from>
    <xdr:to>
      <xdr:col>3</xdr:col>
      <xdr:colOff>466725</xdr:colOff>
      <xdr:row>12</xdr:row>
      <xdr:rowOff>28575</xdr:rowOff>
    </xdr:to>
    <xdr:sp macro="" textlink="">
      <xdr:nvSpPr>
        <xdr:cNvPr id="3083" name="Line 11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ShapeType="1"/>
        </xdr:cNvSpPr>
      </xdr:nvSpPr>
      <xdr:spPr bwMode="auto">
        <a:xfrm>
          <a:off x="2295525" y="361950"/>
          <a:ext cx="0" cy="1609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333375</xdr:colOff>
      <xdr:row>5</xdr:row>
      <xdr:rowOff>9525</xdr:rowOff>
    </xdr:from>
    <xdr:to>
      <xdr:col>2</xdr:col>
      <xdr:colOff>333375</xdr:colOff>
      <xdr:row>9</xdr:row>
      <xdr:rowOff>9525</xdr:rowOff>
    </xdr:to>
    <xdr:sp macro="" textlink="">
      <xdr:nvSpPr>
        <xdr:cNvPr id="3084" name="Line 12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SpPr>
          <a:spLocks noChangeShapeType="1"/>
        </xdr:cNvSpPr>
      </xdr:nvSpPr>
      <xdr:spPr bwMode="auto">
        <a:xfrm>
          <a:off x="1552575" y="819150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333375</xdr:colOff>
      <xdr:row>2</xdr:row>
      <xdr:rowOff>28575</xdr:rowOff>
    </xdr:from>
    <xdr:to>
      <xdr:col>2</xdr:col>
      <xdr:colOff>333375</xdr:colOff>
      <xdr:row>3</xdr:row>
      <xdr:rowOff>28575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ShapeType="1"/>
        </xdr:cNvSpPr>
      </xdr:nvSpPr>
      <xdr:spPr bwMode="auto">
        <a:xfrm>
          <a:off x="1552575" y="35242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38100</xdr:rowOff>
    </xdr:from>
    <xdr:to>
      <xdr:col>3</xdr:col>
      <xdr:colOff>200025</xdr:colOff>
      <xdr:row>3</xdr:row>
      <xdr:rowOff>38100</xdr:rowOff>
    </xdr:to>
    <xdr:sp macro="" textlink="">
      <xdr:nvSpPr>
        <xdr:cNvPr id="3088" name="Lin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ShapeType="1"/>
        </xdr:cNvSpPr>
      </xdr:nvSpPr>
      <xdr:spPr bwMode="auto">
        <a:xfrm>
          <a:off x="609600" y="523875"/>
          <a:ext cx="141922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152400</xdr:rowOff>
    </xdr:from>
    <xdr:to>
      <xdr:col>3</xdr:col>
      <xdr:colOff>200025</xdr:colOff>
      <xdr:row>10</xdr:row>
      <xdr:rowOff>152400</xdr:rowOff>
    </xdr:to>
    <xdr:sp macro="" textlink="">
      <xdr:nvSpPr>
        <xdr:cNvPr id="3089" name="Line 17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ShapeType="1"/>
        </xdr:cNvSpPr>
      </xdr:nvSpPr>
      <xdr:spPr bwMode="auto">
        <a:xfrm>
          <a:off x="609600" y="1771650"/>
          <a:ext cx="141922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28575</xdr:rowOff>
    </xdr:from>
    <xdr:to>
      <xdr:col>3</xdr:col>
      <xdr:colOff>200025</xdr:colOff>
      <xdr:row>2</xdr:row>
      <xdr:rowOff>28575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ShapeType="1"/>
        </xdr:cNvSpPr>
      </xdr:nvSpPr>
      <xdr:spPr bwMode="auto">
        <a:xfrm>
          <a:off x="609600" y="352425"/>
          <a:ext cx="141922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533400</xdr:colOff>
      <xdr:row>15</xdr:row>
      <xdr:rowOff>47625</xdr:rowOff>
    </xdr:from>
    <xdr:to>
      <xdr:col>3</xdr:col>
      <xdr:colOff>200025</xdr:colOff>
      <xdr:row>16</xdr:row>
      <xdr:rowOff>142875</xdr:rowOff>
    </xdr:to>
    <xdr:sp macro="" textlink="">
      <xdr:nvSpPr>
        <xdr:cNvPr id="3093" name="Text 2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 txBox="1">
          <a:spLocks noChangeArrowheads="1"/>
        </xdr:cNvSpPr>
      </xdr:nvSpPr>
      <xdr:spPr bwMode="auto">
        <a:xfrm>
          <a:off x="533400" y="2505075"/>
          <a:ext cx="14954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Capacity of drum or reel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</xdr:row>
          <xdr:rowOff>146050</xdr:rowOff>
        </xdr:from>
        <xdr:to>
          <xdr:col>7</xdr:col>
          <xdr:colOff>0</xdr:colOff>
          <xdr:row>5</xdr:row>
          <xdr:rowOff>12700</xdr:rowOff>
        </xdr:to>
        <xdr:sp macro="" textlink="">
          <xdr:nvSpPr>
            <xdr:cNvPr id="3094" name="Drop Dow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13</xdr:row>
      <xdr:rowOff>66675</xdr:rowOff>
    </xdr:from>
    <xdr:to>
      <xdr:col>4</xdr:col>
      <xdr:colOff>409575</xdr:colOff>
      <xdr:row>13</xdr:row>
      <xdr:rowOff>66675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SpPr>
          <a:spLocks noChangeShapeType="1"/>
        </xdr:cNvSpPr>
      </xdr:nvSpPr>
      <xdr:spPr bwMode="auto">
        <a:xfrm>
          <a:off x="1543050" y="2238375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409575</xdr:colOff>
      <xdr:row>8</xdr:row>
      <xdr:rowOff>152400</xdr:rowOff>
    </xdr:from>
    <xdr:to>
      <xdr:col>4</xdr:col>
      <xdr:colOff>409575</xdr:colOff>
      <xdr:row>13</xdr:row>
      <xdr:rowOff>47625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600-000002100000}"/>
            </a:ext>
          </a:extLst>
        </xdr:cNvPr>
        <xdr:cNvSpPr>
          <a:spLocks noChangeShapeType="1"/>
        </xdr:cNvSpPr>
      </xdr:nvSpPr>
      <xdr:spPr bwMode="auto">
        <a:xfrm flipV="1">
          <a:off x="2876550" y="1514475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9</xdr:row>
      <xdr:rowOff>9525</xdr:rowOff>
    </xdr:from>
    <xdr:to>
      <xdr:col>4</xdr:col>
      <xdr:colOff>409575</xdr:colOff>
      <xdr:row>13</xdr:row>
      <xdr:rowOff>76200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600-000003100000}"/>
            </a:ext>
          </a:extLst>
        </xdr:cNvPr>
        <xdr:cNvSpPr>
          <a:spLocks noChangeShapeType="1"/>
        </xdr:cNvSpPr>
      </xdr:nvSpPr>
      <xdr:spPr bwMode="auto">
        <a:xfrm flipV="1">
          <a:off x="1543050" y="1533525"/>
          <a:ext cx="133350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504825</xdr:colOff>
      <xdr:row>8</xdr:row>
      <xdr:rowOff>0</xdr:rowOff>
    </xdr:from>
    <xdr:to>
      <xdr:col>4</xdr:col>
      <xdr:colOff>504825</xdr:colOff>
      <xdr:row>8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600-000004100000}"/>
            </a:ext>
          </a:extLst>
        </xdr:cNvPr>
        <xdr:cNvSpPr>
          <a:spLocks noChangeShapeType="1"/>
        </xdr:cNvSpPr>
      </xdr:nvSpPr>
      <xdr:spPr bwMode="auto">
        <a:xfrm flipV="1">
          <a:off x="2971800" y="1362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4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workbookViewId="0">
      <selection activeCell="I16" sqref="I16"/>
    </sheetView>
  </sheetViews>
  <sheetFormatPr baseColWidth="10" defaultRowHeight="12.5" x14ac:dyDescent="0.25"/>
  <cols>
    <col min="1" max="4" width="9.1796875" customWidth="1"/>
    <col min="5" max="5" width="2.54296875" customWidth="1"/>
    <col min="6" max="6" width="11.7265625" customWidth="1"/>
    <col min="7" max="7" width="12.81640625" customWidth="1"/>
    <col min="8" max="8" width="9.453125" customWidth="1"/>
    <col min="9" max="9" width="12.81640625" customWidth="1"/>
    <col min="10" max="10" width="9.453125" customWidth="1"/>
    <col min="11" max="11" width="2" customWidth="1"/>
    <col min="12" max="12" width="12.81640625" customWidth="1"/>
    <col min="13" max="13" width="9.453125" customWidth="1"/>
    <col min="14" max="14" width="9.1796875" customWidth="1"/>
    <col min="15" max="15" width="14.1796875" customWidth="1"/>
    <col min="16" max="256" width="9.1796875" customWidth="1"/>
  </cols>
  <sheetData>
    <row r="1" spans="6:15" ht="4.5" customHeight="1" x14ac:dyDescent="0.25"/>
    <row r="2" spans="6:15" ht="13" x14ac:dyDescent="0.3">
      <c r="G2" s="5" t="s">
        <v>0</v>
      </c>
      <c r="I2" s="5" t="s">
        <v>1</v>
      </c>
    </row>
    <row r="3" spans="6:15" ht="25.5" customHeight="1" thickBot="1" x14ac:dyDescent="0.3">
      <c r="F3" s="6" t="s">
        <v>2</v>
      </c>
      <c r="G3" s="1">
        <v>2</v>
      </c>
      <c r="H3" s="3" t="s">
        <v>3</v>
      </c>
      <c r="I3" s="1">
        <v>2</v>
      </c>
      <c r="J3" s="3" t="s">
        <v>4</v>
      </c>
    </row>
    <row r="4" spans="6:15" ht="25.5" customHeight="1" thickBot="1" x14ac:dyDescent="0.5">
      <c r="F4" s="6" t="s">
        <v>5</v>
      </c>
      <c r="G4" s="1">
        <v>3</v>
      </c>
      <c r="H4" s="3" t="s">
        <v>3</v>
      </c>
      <c r="I4" s="1">
        <v>32</v>
      </c>
      <c r="J4" s="3" t="s">
        <v>4</v>
      </c>
      <c r="N4" s="45"/>
      <c r="O4" s="53"/>
    </row>
    <row r="5" spans="6:15" ht="25.5" customHeight="1" thickBot="1" x14ac:dyDescent="0.5">
      <c r="F5" s="6" t="s">
        <v>6</v>
      </c>
      <c r="G5" s="1">
        <v>3</v>
      </c>
      <c r="H5" s="3" t="s">
        <v>3</v>
      </c>
      <c r="I5" s="1">
        <v>40</v>
      </c>
      <c r="J5" s="3" t="s">
        <v>4</v>
      </c>
      <c r="N5" s="45"/>
      <c r="O5" s="54"/>
    </row>
    <row r="6" spans="6:15" ht="6.75" customHeight="1" x14ac:dyDescent="0.45">
      <c r="G6" s="2"/>
      <c r="H6" s="4"/>
      <c r="I6" s="2"/>
      <c r="N6" s="45"/>
      <c r="O6" s="54"/>
    </row>
    <row r="7" spans="6:15" ht="13.5" thickBot="1" x14ac:dyDescent="0.35">
      <c r="F7" s="7" t="s">
        <v>7</v>
      </c>
      <c r="G7" s="9">
        <f>G3*G4*G5</f>
        <v>18</v>
      </c>
      <c r="H7" s="14" t="s">
        <v>8</v>
      </c>
      <c r="I7" s="9">
        <f>I3*I4*I5</f>
        <v>2560</v>
      </c>
      <c r="J7" s="14" t="s">
        <v>9</v>
      </c>
      <c r="K7" s="15"/>
      <c r="O7" s="48"/>
    </row>
    <row r="8" spans="6:15" ht="23" thickBot="1" x14ac:dyDescent="0.5">
      <c r="F8" s="7" t="s">
        <v>10</v>
      </c>
      <c r="G8" s="16">
        <f>G7*1000</f>
        <v>18000</v>
      </c>
      <c r="H8" s="14" t="s">
        <v>11</v>
      </c>
      <c r="I8" s="16">
        <f>I7*28.3169</f>
        <v>72491.263999999996</v>
      </c>
      <c r="J8" s="14" t="s">
        <v>11</v>
      </c>
      <c r="K8" s="15"/>
      <c r="N8" s="45"/>
      <c r="O8" s="53"/>
    </row>
    <row r="9" spans="6:15" ht="23" thickBot="1" x14ac:dyDescent="0.5">
      <c r="F9" s="7" t="s">
        <v>10</v>
      </c>
      <c r="G9" s="17">
        <f>G8*0.264</f>
        <v>4752</v>
      </c>
      <c r="H9" s="14" t="s">
        <v>12</v>
      </c>
      <c r="I9" s="17">
        <f>I8*0.264</f>
        <v>19137.693695999998</v>
      </c>
      <c r="J9" s="14" t="s">
        <v>12</v>
      </c>
      <c r="K9" s="15"/>
      <c r="N9" s="45"/>
      <c r="O9" s="54"/>
    </row>
    <row r="10" spans="6:15" ht="23" thickBot="1" x14ac:dyDescent="0.5">
      <c r="F10" s="7" t="s">
        <v>13</v>
      </c>
      <c r="G10" s="17">
        <f>G8*0.2196</f>
        <v>3952.7999999999997</v>
      </c>
      <c r="H10" s="14" t="s">
        <v>14</v>
      </c>
      <c r="I10" s="17">
        <f>I8*0.2196</f>
        <v>15919.081574399997</v>
      </c>
      <c r="J10" s="14" t="s">
        <v>14</v>
      </c>
      <c r="K10" s="15"/>
      <c r="N10" s="45"/>
      <c r="O10" s="54"/>
    </row>
    <row r="12" spans="6:15" ht="13.5" customHeight="1" x14ac:dyDescent="0.45">
      <c r="G12" s="5" t="s">
        <v>15</v>
      </c>
      <c r="I12" s="20"/>
      <c r="N12" s="45"/>
      <c r="O12" s="53"/>
    </row>
    <row r="13" spans="6:15" ht="23.25" customHeight="1" thickBot="1" x14ac:dyDescent="0.5">
      <c r="F13" s="6" t="s">
        <v>2</v>
      </c>
      <c r="G13" s="1">
        <v>12</v>
      </c>
      <c r="H13" s="3" t="s">
        <v>16</v>
      </c>
      <c r="I13" s="21"/>
      <c r="J13" s="3"/>
      <c r="N13" s="45"/>
      <c r="O13" s="54"/>
    </row>
    <row r="14" spans="6:15" ht="23.25" customHeight="1" thickBot="1" x14ac:dyDescent="0.5">
      <c r="F14" s="6" t="s">
        <v>5</v>
      </c>
      <c r="G14" s="1">
        <v>50</v>
      </c>
      <c r="H14" s="3" t="s">
        <v>16</v>
      </c>
      <c r="I14" s="21"/>
      <c r="J14" s="3"/>
      <c r="N14" s="45"/>
      <c r="O14" s="54"/>
    </row>
    <row r="15" spans="6:15" ht="23.25" customHeight="1" thickBot="1" x14ac:dyDescent="0.3">
      <c r="F15" s="6" t="s">
        <v>6</v>
      </c>
      <c r="G15" s="1">
        <v>23</v>
      </c>
      <c r="H15" s="3" t="s">
        <v>16</v>
      </c>
      <c r="I15" s="21"/>
      <c r="J15" s="3"/>
    </row>
    <row r="16" spans="6:15" ht="6.75" customHeight="1" x14ac:dyDescent="0.25">
      <c r="G16" s="2"/>
    </row>
    <row r="17" spans="1:8" ht="13.5" thickBot="1" x14ac:dyDescent="0.35">
      <c r="F17" s="7" t="s">
        <v>7</v>
      </c>
      <c r="G17" s="9">
        <f>G13*G14*G15</f>
        <v>13800</v>
      </c>
      <c r="H17" s="4" t="s">
        <v>17</v>
      </c>
    </row>
    <row r="18" spans="1:8" ht="13.5" thickBot="1" x14ac:dyDescent="0.35">
      <c r="F18" s="7" t="s">
        <v>10</v>
      </c>
      <c r="G18" s="16">
        <f>G17*0.01638706</f>
        <v>226.14142799999999</v>
      </c>
      <c r="H18" s="4" t="s">
        <v>11</v>
      </c>
    </row>
    <row r="19" spans="1:8" ht="13.5" thickBot="1" x14ac:dyDescent="0.35">
      <c r="F19" s="7" t="s">
        <v>10</v>
      </c>
      <c r="G19" s="17">
        <f>G18*0.264</f>
        <v>59.701336992000002</v>
      </c>
      <c r="H19" s="4" t="s">
        <v>12</v>
      </c>
    </row>
    <row r="20" spans="1:8" ht="13.5" thickBot="1" x14ac:dyDescent="0.35">
      <c r="F20" s="7" t="s">
        <v>13</v>
      </c>
      <c r="G20" s="17">
        <f>G18*0.2196</f>
        <v>49.660657588799992</v>
      </c>
      <c r="H20" s="14" t="s">
        <v>14</v>
      </c>
    </row>
    <row r="21" spans="1:8" x14ac:dyDescent="0.25">
      <c r="A21" s="32" t="s">
        <v>18</v>
      </c>
    </row>
    <row r="24" spans="1:8" ht="22.5" x14ac:dyDescent="0.45">
      <c r="F24" s="45" t="s">
        <v>12</v>
      </c>
      <c r="G24" s="46">
        <v>1.2</v>
      </c>
    </row>
    <row r="25" spans="1:8" ht="22.5" x14ac:dyDescent="0.45">
      <c r="F25" s="45" t="s">
        <v>38</v>
      </c>
      <c r="G25" s="47">
        <f>G24*0.833</f>
        <v>0.99959999999999993</v>
      </c>
    </row>
    <row r="26" spans="1:8" ht="22.5" x14ac:dyDescent="0.45">
      <c r="F26" s="45" t="s">
        <v>11</v>
      </c>
      <c r="G26" s="47">
        <f>G25*4.546092</f>
        <v>4.5442735631999991</v>
      </c>
    </row>
    <row r="27" spans="1:8" x14ac:dyDescent="0.25">
      <c r="G27" s="48"/>
    </row>
    <row r="28" spans="1:8" ht="22.5" x14ac:dyDescent="0.45">
      <c r="F28" s="45" t="s">
        <v>39</v>
      </c>
      <c r="G28" s="46">
        <v>1</v>
      </c>
    </row>
    <row r="29" spans="1:8" ht="22.5" x14ac:dyDescent="0.45">
      <c r="F29" s="45" t="s">
        <v>12</v>
      </c>
      <c r="G29" s="47">
        <f>G28/0.833</f>
        <v>1.2004801920768309</v>
      </c>
    </row>
    <row r="30" spans="1:8" ht="22.5" x14ac:dyDescent="0.45">
      <c r="F30" s="45" t="s">
        <v>11</v>
      </c>
      <c r="G30" s="47">
        <f>G28*4.544</f>
        <v>4.5439999999999996</v>
      </c>
    </row>
    <row r="32" spans="1:8" ht="22.5" x14ac:dyDescent="0.45">
      <c r="F32" s="45" t="s">
        <v>11</v>
      </c>
      <c r="G32" s="46">
        <v>4.5439999999999996</v>
      </c>
    </row>
    <row r="33" spans="6:7" ht="22.5" x14ac:dyDescent="0.45">
      <c r="F33" s="45" t="s">
        <v>38</v>
      </c>
      <c r="G33" s="47">
        <f>G32*0.2196</f>
        <v>0.99786239999999982</v>
      </c>
    </row>
    <row r="34" spans="6:7" ht="22.5" x14ac:dyDescent="0.45">
      <c r="F34" s="45" t="s">
        <v>12</v>
      </c>
      <c r="G34" s="47">
        <f>G32*0.264</f>
        <v>1.199616</v>
      </c>
    </row>
  </sheetData>
  <phoneticPr fontId="0" type="noConversion"/>
  <printOptions horizontalCentered="1"/>
  <pageMargins left="0.78740157499999996" right="0.78740157499999996" top="0.984251969" bottom="0.984251969" header="0.5" footer="0.5"/>
  <pageSetup orientation="landscape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Spinner 19">
              <controlPr defaultSize="0" autoFill="0" autoLine="0" autoPict="0">
                <anchor moveWithCells="1">
                  <from>
                    <xdr:col>6</xdr:col>
                    <xdr:colOff>698500</xdr:colOff>
                    <xdr:row>2</xdr:row>
                    <xdr:rowOff>50800</xdr:rowOff>
                  </from>
                  <to>
                    <xdr:col>6</xdr:col>
                    <xdr:colOff>831850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Spinner 23">
              <controlPr defaultSize="0" autoFill="0" autoLine="0" autoPict="0">
                <anchor moveWithCells="1">
                  <from>
                    <xdr:col>6</xdr:col>
                    <xdr:colOff>698500</xdr:colOff>
                    <xdr:row>3</xdr:row>
                    <xdr:rowOff>50800</xdr:rowOff>
                  </from>
                  <to>
                    <xdr:col>6</xdr:col>
                    <xdr:colOff>831850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Spinner 24">
              <controlPr defaultSize="0" autoFill="0" autoLine="0" autoPict="0">
                <anchor moveWithCells="1">
                  <from>
                    <xdr:col>6</xdr:col>
                    <xdr:colOff>698500</xdr:colOff>
                    <xdr:row>4</xdr:row>
                    <xdr:rowOff>50800</xdr:rowOff>
                  </from>
                  <to>
                    <xdr:col>6</xdr:col>
                    <xdr:colOff>831850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Spinner 27">
              <controlPr defaultSize="0" autoFill="0" autoLine="0" autoPict="0">
                <anchor moveWithCells="1">
                  <from>
                    <xdr:col>8</xdr:col>
                    <xdr:colOff>698500</xdr:colOff>
                    <xdr:row>2</xdr:row>
                    <xdr:rowOff>50800</xdr:rowOff>
                  </from>
                  <to>
                    <xdr:col>8</xdr:col>
                    <xdr:colOff>831850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Spinner 28">
              <controlPr defaultSize="0" autoFill="0" autoLine="0" autoPict="0">
                <anchor moveWithCells="1">
                  <from>
                    <xdr:col>8</xdr:col>
                    <xdr:colOff>698500</xdr:colOff>
                    <xdr:row>3</xdr:row>
                    <xdr:rowOff>50800</xdr:rowOff>
                  </from>
                  <to>
                    <xdr:col>8</xdr:col>
                    <xdr:colOff>831850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Spinner 29">
              <controlPr defaultSize="0" autoFill="0" autoLine="0" autoPict="0">
                <anchor moveWithCells="1">
                  <from>
                    <xdr:col>8</xdr:col>
                    <xdr:colOff>698500</xdr:colOff>
                    <xdr:row>4</xdr:row>
                    <xdr:rowOff>50800</xdr:rowOff>
                  </from>
                  <to>
                    <xdr:col>8</xdr:col>
                    <xdr:colOff>831850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Spinner 37">
              <controlPr defaultSize="0" autoFill="0" autoLine="0" autoPict="0">
                <anchor moveWithCells="1">
                  <from>
                    <xdr:col>6</xdr:col>
                    <xdr:colOff>698500</xdr:colOff>
                    <xdr:row>12</xdr:row>
                    <xdr:rowOff>50800</xdr:rowOff>
                  </from>
                  <to>
                    <xdr:col>6</xdr:col>
                    <xdr:colOff>831850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Spinner 38">
              <controlPr defaultSize="0" autoFill="0" autoLine="0" autoPict="0">
                <anchor moveWithCells="1">
                  <from>
                    <xdr:col>6</xdr:col>
                    <xdr:colOff>698500</xdr:colOff>
                    <xdr:row>13</xdr:row>
                    <xdr:rowOff>50800</xdr:rowOff>
                  </from>
                  <to>
                    <xdr:col>6</xdr:col>
                    <xdr:colOff>831850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Spinner 39">
              <controlPr defaultSize="0" autoFill="0" autoLine="0" autoPict="0">
                <anchor moveWithCells="1">
                  <from>
                    <xdr:col>6</xdr:col>
                    <xdr:colOff>698500</xdr:colOff>
                    <xdr:row>14</xdr:row>
                    <xdr:rowOff>50800</xdr:rowOff>
                  </from>
                  <to>
                    <xdr:col>6</xdr:col>
                    <xdr:colOff>831850</xdr:colOff>
                    <xdr:row>15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workbookViewId="0">
      <selection activeCell="O4" sqref="O4"/>
    </sheetView>
  </sheetViews>
  <sheetFormatPr baseColWidth="10" defaultRowHeight="12.5" x14ac:dyDescent="0.25"/>
  <cols>
    <col min="1" max="1" width="9.1796875" customWidth="1"/>
    <col min="2" max="2" width="14.26953125" customWidth="1"/>
    <col min="3" max="3" width="9.1796875" customWidth="1"/>
    <col min="4" max="4" width="3" customWidth="1"/>
    <col min="5" max="5" width="15" customWidth="1"/>
    <col min="6" max="6" width="14.1796875" customWidth="1"/>
    <col min="7" max="7" width="9.7265625" customWidth="1"/>
    <col min="8" max="8" width="13.1796875" customWidth="1"/>
    <col min="9" max="9" width="9.1796875" customWidth="1"/>
    <col min="10" max="10" width="2.1796875" customWidth="1"/>
    <col min="11" max="256" width="9.1796875" customWidth="1"/>
  </cols>
  <sheetData>
    <row r="1" spans="5:10" ht="6" customHeight="1" x14ac:dyDescent="0.25"/>
    <row r="2" spans="5:10" ht="12.75" customHeight="1" x14ac:dyDescent="0.3">
      <c r="F2" s="5" t="s">
        <v>0</v>
      </c>
      <c r="H2" s="5" t="s">
        <v>1</v>
      </c>
    </row>
    <row r="3" spans="5:10" ht="27.75" customHeight="1" thickBot="1" x14ac:dyDescent="0.3">
      <c r="E3" s="10" t="s">
        <v>19</v>
      </c>
      <c r="F3" s="1">
        <v>1</v>
      </c>
      <c r="G3" s="3" t="s">
        <v>3</v>
      </c>
      <c r="H3" s="1">
        <v>2</v>
      </c>
      <c r="I3" s="3" t="s">
        <v>4</v>
      </c>
    </row>
    <row r="4" spans="5:10" ht="27.75" customHeight="1" thickBot="1" x14ac:dyDescent="0.3">
      <c r="E4" s="10" t="s">
        <v>6</v>
      </c>
      <c r="F4" s="1">
        <v>1</v>
      </c>
      <c r="G4" s="3" t="s">
        <v>3</v>
      </c>
      <c r="H4" s="1">
        <v>13</v>
      </c>
      <c r="I4" s="3" t="s">
        <v>4</v>
      </c>
    </row>
    <row r="5" spans="5:10" ht="9.75" customHeight="1" x14ac:dyDescent="0.25">
      <c r="F5" s="2"/>
      <c r="G5" s="4"/>
      <c r="H5" s="2"/>
    </row>
    <row r="6" spans="5:10" ht="13.5" thickBot="1" x14ac:dyDescent="0.35">
      <c r="E6" s="11" t="s">
        <v>7</v>
      </c>
      <c r="F6" s="8">
        <f>(F3/2)*(F3/2)*PI()*F4</f>
        <v>0.78539816339744828</v>
      </c>
      <c r="G6" s="4" t="s">
        <v>8</v>
      </c>
      <c r="H6" s="8">
        <f>(H3/2)*(H3/2)*PI()*H4</f>
        <v>40.840704496667314</v>
      </c>
      <c r="I6" s="4" t="s">
        <v>9</v>
      </c>
    </row>
    <row r="7" spans="5:10" ht="13.5" thickBot="1" x14ac:dyDescent="0.35">
      <c r="E7" s="11" t="s">
        <v>10</v>
      </c>
      <c r="F7" s="13">
        <f>F6*1000</f>
        <v>785.39816339744823</v>
      </c>
      <c r="G7" s="18" t="s">
        <v>11</v>
      </c>
      <c r="H7" s="13">
        <f>H6*28.3169</f>
        <v>1156.4821451616788</v>
      </c>
      <c r="I7" s="18" t="s">
        <v>11</v>
      </c>
      <c r="J7" s="19"/>
    </row>
    <row r="8" spans="5:10" ht="13.5" thickBot="1" x14ac:dyDescent="0.35">
      <c r="E8" s="11" t="s">
        <v>10</v>
      </c>
      <c r="F8" s="12">
        <f>F7*0.264</f>
        <v>207.34511513692635</v>
      </c>
      <c r="G8" s="18" t="s">
        <v>12</v>
      </c>
      <c r="H8" s="12">
        <f>H7*0.264</f>
        <v>305.3112863226832</v>
      </c>
      <c r="I8" s="18" t="s">
        <v>12</v>
      </c>
      <c r="J8" s="19"/>
    </row>
    <row r="9" spans="5:10" ht="13.5" thickBot="1" x14ac:dyDescent="0.35">
      <c r="E9" s="11" t="s">
        <v>13</v>
      </c>
      <c r="F9" s="12">
        <f>F7*0.2196</f>
        <v>172.47343668207964</v>
      </c>
      <c r="G9" s="18" t="s">
        <v>14</v>
      </c>
      <c r="H9" s="12">
        <f>H7*0.2196</f>
        <v>253.96347907750464</v>
      </c>
      <c r="I9" s="18" t="s">
        <v>14</v>
      </c>
      <c r="J9" s="19"/>
    </row>
    <row r="11" spans="5:10" ht="12.75" customHeight="1" x14ac:dyDescent="0.3">
      <c r="F11" s="5" t="s">
        <v>15</v>
      </c>
    </row>
    <row r="12" spans="5:10" ht="27.75" customHeight="1" thickBot="1" x14ac:dyDescent="0.3">
      <c r="E12" s="10" t="s">
        <v>19</v>
      </c>
      <c r="F12" s="1">
        <v>1</v>
      </c>
      <c r="G12" s="3" t="s">
        <v>16</v>
      </c>
    </row>
    <row r="13" spans="5:10" ht="27.75" customHeight="1" thickBot="1" x14ac:dyDescent="0.3">
      <c r="E13" s="10" t="s">
        <v>6</v>
      </c>
      <c r="F13" s="1">
        <v>1200</v>
      </c>
      <c r="G13" s="3" t="s">
        <v>16</v>
      </c>
    </row>
    <row r="14" spans="5:10" x14ac:dyDescent="0.25">
      <c r="F14" s="2"/>
    </row>
    <row r="15" spans="5:10" ht="13.5" thickBot="1" x14ac:dyDescent="0.35">
      <c r="E15" s="11" t="s">
        <v>7</v>
      </c>
      <c r="F15" s="8">
        <f>(F12/2)*(F12/2)*PI()*F13</f>
        <v>942.47779607693792</v>
      </c>
      <c r="G15" s="4" t="s">
        <v>17</v>
      </c>
    </row>
    <row r="16" spans="5:10" ht="13.5" thickBot="1" x14ac:dyDescent="0.35">
      <c r="E16" s="11" t="s">
        <v>10</v>
      </c>
      <c r="F16" s="13">
        <f>F15*0.01638706</f>
        <v>15.444440192980545</v>
      </c>
      <c r="G16" s="4" t="s">
        <v>11</v>
      </c>
    </row>
    <row r="17" spans="1:7" ht="13.5" thickBot="1" x14ac:dyDescent="0.35">
      <c r="E17" s="11" t="s">
        <v>10</v>
      </c>
      <c r="F17" s="12">
        <f>F16*0.264</f>
        <v>4.0773322109468646</v>
      </c>
      <c r="G17" s="4" t="s">
        <v>12</v>
      </c>
    </row>
    <row r="18" spans="1:7" ht="13.5" thickBot="1" x14ac:dyDescent="0.35">
      <c r="E18" s="11" t="s">
        <v>13</v>
      </c>
      <c r="F18" s="12">
        <f>F16*0.2196</f>
        <v>3.3915990663785278</v>
      </c>
      <c r="G18" s="4" t="s">
        <v>14</v>
      </c>
    </row>
    <row r="20" spans="1:7" x14ac:dyDescent="0.25">
      <c r="A20" s="32" t="s">
        <v>18</v>
      </c>
    </row>
    <row r="23" spans="1:7" ht="22.5" x14ac:dyDescent="0.45">
      <c r="C23" s="45"/>
      <c r="E23" s="45" t="s">
        <v>12</v>
      </c>
      <c r="F23" s="46">
        <v>1.2</v>
      </c>
    </row>
    <row r="24" spans="1:7" ht="22.5" x14ac:dyDescent="0.45">
      <c r="C24" s="45"/>
      <c r="E24" s="45" t="s">
        <v>38</v>
      </c>
      <c r="F24" s="47">
        <f>F23*0.833</f>
        <v>0.99959999999999993</v>
      </c>
    </row>
    <row r="25" spans="1:7" ht="22.5" x14ac:dyDescent="0.45">
      <c r="C25" s="45"/>
      <c r="E25" s="45" t="s">
        <v>11</v>
      </c>
      <c r="F25" s="47">
        <f>F24*4.546092</f>
        <v>4.5442735631999991</v>
      </c>
    </row>
    <row r="26" spans="1:7" x14ac:dyDescent="0.25">
      <c r="D26" s="48"/>
      <c r="F26" s="48"/>
    </row>
    <row r="27" spans="1:7" ht="22.5" x14ac:dyDescent="0.45">
      <c r="C27" s="45"/>
      <c r="E27" s="45" t="s">
        <v>39</v>
      </c>
      <c r="F27" s="46">
        <v>1</v>
      </c>
    </row>
    <row r="28" spans="1:7" ht="22.5" x14ac:dyDescent="0.45">
      <c r="C28" s="45"/>
      <c r="E28" s="45" t="s">
        <v>12</v>
      </c>
      <c r="F28" s="47">
        <f>F27/0.833</f>
        <v>1.2004801920768309</v>
      </c>
    </row>
    <row r="29" spans="1:7" ht="22.5" x14ac:dyDescent="0.45">
      <c r="C29" s="45"/>
      <c r="E29" s="45" t="s">
        <v>11</v>
      </c>
      <c r="F29" s="47">
        <f>F27*4.544</f>
        <v>4.5439999999999996</v>
      </c>
    </row>
    <row r="31" spans="1:7" ht="22.5" x14ac:dyDescent="0.45">
      <c r="C31" s="45"/>
      <c r="E31" s="45" t="s">
        <v>11</v>
      </c>
      <c r="F31" s="46">
        <v>4.5439999999999996</v>
      </c>
    </row>
    <row r="32" spans="1:7" ht="22.5" x14ac:dyDescent="0.45">
      <c r="C32" s="45"/>
      <c r="E32" s="45" t="s">
        <v>38</v>
      </c>
      <c r="F32" s="47">
        <f>F31*0.2196</f>
        <v>0.99786239999999982</v>
      </c>
    </row>
    <row r="33" spans="3:6" ht="22.5" x14ac:dyDescent="0.45">
      <c r="C33" s="45"/>
      <c r="E33" s="45" t="s">
        <v>12</v>
      </c>
      <c r="F33" s="47">
        <f>F31*0.264</f>
        <v>1.199616</v>
      </c>
    </row>
  </sheetData>
  <phoneticPr fontId="0" type="noConversion"/>
  <printOptions horizontalCentered="1"/>
  <pageMargins left="0.78740157499999996" right="0.78740157499999996" top="0.984251969" bottom="0.984251969" header="0.5" footer="0.5"/>
  <pageSetup orientation="landscape" r:id="rId1"/>
  <headerFooter alignWithMargins="0">
    <oddHeader>&amp;A</oddHeader>
    <oddFooter>Page &amp;P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54" r:id="rId4">
          <objectPr defaultSize="0" autoLine="0" autoPict="0" r:id="rId5">
            <anchor moveWithCells="1" sizeWithCells="1">
              <from>
                <xdr:col>0</xdr:col>
                <xdr:colOff>342900</xdr:colOff>
                <xdr:row>2</xdr:row>
                <xdr:rowOff>0</xdr:rowOff>
              </from>
              <to>
                <xdr:col>2</xdr:col>
                <xdr:colOff>457200</xdr:colOff>
                <xdr:row>7</xdr:row>
                <xdr:rowOff>152400</xdr:rowOff>
              </to>
            </anchor>
          </objectPr>
        </oleObject>
      </mc:Choice>
      <mc:Fallback>
        <oleObject progId="Paint.Picture" shapeId="205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6" name="Spinner 15">
              <controlPr defaultSize="0" autoFill="0" autoLine="0" autoPict="0">
                <anchor moveWithCells="1">
                  <from>
                    <xdr:col>5</xdr:col>
                    <xdr:colOff>685800</xdr:colOff>
                    <xdr:row>3</xdr:row>
                    <xdr:rowOff>50800</xdr:rowOff>
                  </from>
                  <to>
                    <xdr:col>5</xdr:col>
                    <xdr:colOff>819150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Spinner 21">
              <controlPr defaultSize="0" autoFill="0" autoLine="0" autoPict="0">
                <anchor moveWithCells="1">
                  <from>
                    <xdr:col>5</xdr:col>
                    <xdr:colOff>685800</xdr:colOff>
                    <xdr:row>2</xdr:row>
                    <xdr:rowOff>50800</xdr:rowOff>
                  </from>
                  <to>
                    <xdr:col>5</xdr:col>
                    <xdr:colOff>819150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Spinner 22">
              <controlPr defaultSize="0" autoFill="0" autoLine="0" autoPict="0">
                <anchor moveWithCells="1">
                  <from>
                    <xdr:col>7</xdr:col>
                    <xdr:colOff>685800</xdr:colOff>
                    <xdr:row>2</xdr:row>
                    <xdr:rowOff>50800</xdr:rowOff>
                  </from>
                  <to>
                    <xdr:col>7</xdr:col>
                    <xdr:colOff>819150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Spinner 23">
              <controlPr defaultSize="0" autoFill="0" autoLine="0" autoPict="0">
                <anchor moveWithCells="1">
                  <from>
                    <xdr:col>7</xdr:col>
                    <xdr:colOff>685800</xdr:colOff>
                    <xdr:row>3</xdr:row>
                    <xdr:rowOff>50800</xdr:rowOff>
                  </from>
                  <to>
                    <xdr:col>7</xdr:col>
                    <xdr:colOff>819150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Spinner 30">
              <controlPr defaultSize="0" autoFill="0" autoLine="0" autoPict="0">
                <anchor moveWithCells="1">
                  <from>
                    <xdr:col>5</xdr:col>
                    <xdr:colOff>704850</xdr:colOff>
                    <xdr:row>11</xdr:row>
                    <xdr:rowOff>38100</xdr:rowOff>
                  </from>
                  <to>
                    <xdr:col>5</xdr:col>
                    <xdr:colOff>838200</xdr:colOff>
                    <xdr:row>11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1" name="Spinner 31">
              <controlPr defaultSize="0" autoFill="0" autoLine="0" autoPict="0">
                <anchor moveWithCells="1">
                  <from>
                    <xdr:col>5</xdr:col>
                    <xdr:colOff>704850</xdr:colOff>
                    <xdr:row>12</xdr:row>
                    <xdr:rowOff>38100</xdr:rowOff>
                  </from>
                  <to>
                    <xdr:col>5</xdr:col>
                    <xdr:colOff>838200</xdr:colOff>
                    <xdr:row>12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6"/>
  <sheetViews>
    <sheetView workbookViewId="0">
      <selection activeCell="C55" sqref="C55"/>
    </sheetView>
  </sheetViews>
  <sheetFormatPr baseColWidth="10" defaultRowHeight="12.5" x14ac:dyDescent="0.25"/>
  <cols>
    <col min="1" max="1" width="21" customWidth="1"/>
    <col min="2" max="2" width="9.1796875" customWidth="1"/>
    <col min="3" max="3" width="21" customWidth="1"/>
    <col min="4" max="256" width="9.1796875" customWidth="1"/>
  </cols>
  <sheetData>
    <row r="1" spans="1:3" x14ac:dyDescent="0.25">
      <c r="A1" s="2" t="s">
        <v>27</v>
      </c>
      <c r="B1" s="2" t="s">
        <v>28</v>
      </c>
      <c r="C1" s="2" t="s">
        <v>27</v>
      </c>
    </row>
    <row r="2" spans="1:3" x14ac:dyDescent="0.25">
      <c r="A2">
        <f>1/32</f>
        <v>3.125E-2</v>
      </c>
      <c r="B2" s="23">
        <f>0.262/(A2*A2)</f>
        <v>268.28800000000001</v>
      </c>
      <c r="C2" t="str">
        <f>"1/32"</f>
        <v>1/32</v>
      </c>
    </row>
    <row r="3" spans="1:3" x14ac:dyDescent="0.25">
      <c r="A3">
        <f>3/64</f>
        <v>4.6875E-2</v>
      </c>
      <c r="B3" s="23">
        <f t="shared" ref="B3:B20" si="0">0.262/(A3*A3)</f>
        <v>119.23911111111111</v>
      </c>
      <c r="C3" t="str">
        <f>"3/64"</f>
        <v>3/64</v>
      </c>
    </row>
    <row r="4" spans="1:3" x14ac:dyDescent="0.25">
      <c r="A4">
        <f>1/16</f>
        <v>6.25E-2</v>
      </c>
      <c r="B4" s="23">
        <f t="shared" si="0"/>
        <v>67.072000000000003</v>
      </c>
      <c r="C4" t="str">
        <f>"1/16"</f>
        <v>1/16</v>
      </c>
    </row>
    <row r="5" spans="1:3" x14ac:dyDescent="0.25">
      <c r="A5">
        <f>5/64</f>
        <v>7.8125E-2</v>
      </c>
      <c r="B5" s="23">
        <f t="shared" si="0"/>
        <v>42.926079999999999</v>
      </c>
      <c r="C5" t="str">
        <f>"5/64"</f>
        <v>5/64</v>
      </c>
    </row>
    <row r="6" spans="1:3" x14ac:dyDescent="0.25">
      <c r="A6">
        <f>3/32</f>
        <v>9.375E-2</v>
      </c>
      <c r="B6" s="23">
        <f t="shared" si="0"/>
        <v>29.809777777777779</v>
      </c>
      <c r="C6" t="str">
        <f>"3/32"</f>
        <v>3/32</v>
      </c>
    </row>
    <row r="7" spans="1:3" x14ac:dyDescent="0.25">
      <c r="A7">
        <f>7/64</f>
        <v>0.109375</v>
      </c>
      <c r="B7" s="23">
        <f t="shared" si="0"/>
        <v>21.901061224489798</v>
      </c>
      <c r="C7" t="str">
        <f>"7/64"</f>
        <v>7/64</v>
      </c>
    </row>
    <row r="8" spans="1:3" x14ac:dyDescent="0.25">
      <c r="A8">
        <f>1/8</f>
        <v>0.125</v>
      </c>
      <c r="B8" s="23">
        <f t="shared" si="0"/>
        <v>16.768000000000001</v>
      </c>
      <c r="C8" t="str">
        <f>"1/8"</f>
        <v>1/8</v>
      </c>
    </row>
    <row r="9" spans="1:3" x14ac:dyDescent="0.25">
      <c r="A9">
        <f>5/32</f>
        <v>0.15625</v>
      </c>
      <c r="B9" s="23">
        <f t="shared" si="0"/>
        <v>10.73152</v>
      </c>
      <c r="C9" t="str">
        <f>"5/32"</f>
        <v>5/32</v>
      </c>
    </row>
    <row r="10" spans="1:3" x14ac:dyDescent="0.25">
      <c r="A10">
        <f>3/16</f>
        <v>0.1875</v>
      </c>
      <c r="B10" s="23">
        <f t="shared" si="0"/>
        <v>7.4524444444444446</v>
      </c>
      <c r="C10" t="str">
        <f>"3/16"</f>
        <v>3/16</v>
      </c>
    </row>
    <row r="11" spans="1:3" x14ac:dyDescent="0.25">
      <c r="A11">
        <f>7/32</f>
        <v>0.21875</v>
      </c>
      <c r="B11" s="23">
        <f t="shared" si="0"/>
        <v>5.4752653061224494</v>
      </c>
      <c r="C11" t="str">
        <f>"7/32"</f>
        <v>7/32</v>
      </c>
    </row>
    <row r="12" spans="1:3" x14ac:dyDescent="0.25">
      <c r="A12">
        <f>1/4</f>
        <v>0.25</v>
      </c>
      <c r="B12" s="23">
        <f t="shared" si="0"/>
        <v>4.1920000000000002</v>
      </c>
      <c r="C12" t="str">
        <f>"1/4"</f>
        <v>1/4</v>
      </c>
    </row>
    <row r="13" spans="1:3" x14ac:dyDescent="0.25">
      <c r="A13">
        <f>9/32</f>
        <v>0.28125</v>
      </c>
      <c r="B13" s="23">
        <f t="shared" si="0"/>
        <v>3.3121975308641978</v>
      </c>
      <c r="C13" t="str">
        <f>"9/32"</f>
        <v>9/32</v>
      </c>
    </row>
    <row r="14" spans="1:3" x14ac:dyDescent="0.25">
      <c r="A14">
        <f>5/16</f>
        <v>0.3125</v>
      </c>
      <c r="B14" s="23">
        <f t="shared" si="0"/>
        <v>2.6828799999999999</v>
      </c>
      <c r="C14" t="str">
        <f>"5/16"</f>
        <v>5/16</v>
      </c>
    </row>
    <row r="15" spans="1:3" x14ac:dyDescent="0.25">
      <c r="A15">
        <f>3/8</f>
        <v>0.375</v>
      </c>
      <c r="B15" s="23">
        <f t="shared" si="0"/>
        <v>1.8631111111111112</v>
      </c>
      <c r="C15" t="str">
        <f>"3/8"</f>
        <v>3/8</v>
      </c>
    </row>
    <row r="16" spans="1:3" x14ac:dyDescent="0.25">
      <c r="A16">
        <f>7/16</f>
        <v>0.4375</v>
      </c>
      <c r="B16" s="23">
        <f t="shared" si="0"/>
        <v>1.3688163265306124</v>
      </c>
      <c r="C16" t="str">
        <f>"7/16"</f>
        <v>7/16</v>
      </c>
    </row>
    <row r="17" spans="1:3" x14ac:dyDescent="0.25">
      <c r="A17">
        <f>1/2</f>
        <v>0.5</v>
      </c>
      <c r="B17" s="23">
        <f t="shared" si="0"/>
        <v>1.048</v>
      </c>
      <c r="C17" t="str">
        <f>"1/2"</f>
        <v>1/2</v>
      </c>
    </row>
    <row r="18" spans="1:3" x14ac:dyDescent="0.25">
      <c r="A18">
        <f>9/16</f>
        <v>0.5625</v>
      </c>
      <c r="B18" s="23">
        <f t="shared" si="0"/>
        <v>0.82804938271604944</v>
      </c>
      <c r="C18" t="str">
        <f>"9/16"</f>
        <v>9/16</v>
      </c>
    </row>
    <row r="19" spans="1:3" x14ac:dyDescent="0.25">
      <c r="A19">
        <f>5/8</f>
        <v>0.625</v>
      </c>
      <c r="B19" s="23">
        <f t="shared" si="0"/>
        <v>0.67071999999999998</v>
      </c>
      <c r="C19" t="str">
        <f>"5/8"</f>
        <v>5/8</v>
      </c>
    </row>
    <row r="20" spans="1:3" x14ac:dyDescent="0.25">
      <c r="A20">
        <f>11/16</f>
        <v>0.6875</v>
      </c>
      <c r="B20" s="23">
        <f t="shared" si="0"/>
        <v>0.55431404958677688</v>
      </c>
      <c r="C20" t="str">
        <f>"11/16"</f>
        <v>11/16</v>
      </c>
    </row>
    <row r="21" spans="1:3" x14ac:dyDescent="0.25">
      <c r="A21">
        <f>3/4</f>
        <v>0.75</v>
      </c>
      <c r="B21" s="23">
        <f t="shared" ref="B21:B36" si="1">0.262/(A21*A21)</f>
        <v>0.46577777777777779</v>
      </c>
      <c r="C21" t="str">
        <f>"3/4"</f>
        <v>3/4</v>
      </c>
    </row>
    <row r="22" spans="1:3" x14ac:dyDescent="0.25">
      <c r="A22">
        <f>13/16</f>
        <v>0.8125</v>
      </c>
      <c r="B22" s="23">
        <f t="shared" si="1"/>
        <v>0.39687573964497042</v>
      </c>
      <c r="C22" t="str">
        <f>"13/16"</f>
        <v>13/16</v>
      </c>
    </row>
    <row r="23" spans="1:3" x14ac:dyDescent="0.25">
      <c r="A23">
        <f>7/8</f>
        <v>0.875</v>
      </c>
      <c r="B23" s="23">
        <f t="shared" si="1"/>
        <v>0.34220408163265309</v>
      </c>
      <c r="C23" t="str">
        <f>"7/8"</f>
        <v>7/8</v>
      </c>
    </row>
    <row r="24" spans="1:3" x14ac:dyDescent="0.25">
      <c r="A24">
        <f>1</f>
        <v>1</v>
      </c>
      <c r="B24" s="23">
        <f t="shared" si="1"/>
        <v>0.26200000000000001</v>
      </c>
      <c r="C24" t="str">
        <f>"1"</f>
        <v>1</v>
      </c>
    </row>
    <row r="25" spans="1:3" x14ac:dyDescent="0.25">
      <c r="A25">
        <f>9/8</f>
        <v>1.125</v>
      </c>
      <c r="B25" s="23">
        <f t="shared" si="1"/>
        <v>0.20701234567901236</v>
      </c>
      <c r="C25" t="str">
        <f>"1  1/8"</f>
        <v>1  1/8</v>
      </c>
    </row>
    <row r="26" spans="1:3" x14ac:dyDescent="0.25">
      <c r="A26">
        <f>5/4</f>
        <v>1.25</v>
      </c>
      <c r="B26" s="23">
        <f t="shared" si="1"/>
        <v>0.16768</v>
      </c>
      <c r="C26" t="str">
        <f>"1  1/4"</f>
        <v>1  1/4</v>
      </c>
    </row>
    <row r="27" spans="1:3" x14ac:dyDescent="0.25">
      <c r="A27">
        <f>11/8</f>
        <v>1.375</v>
      </c>
      <c r="B27" s="23">
        <f t="shared" si="1"/>
        <v>0.13857851239669422</v>
      </c>
      <c r="C27" t="str">
        <f>"1  3/8"</f>
        <v>1  3/8</v>
      </c>
    </row>
    <row r="28" spans="1:3" x14ac:dyDescent="0.25">
      <c r="A28">
        <f>3/2</f>
        <v>1.5</v>
      </c>
      <c r="B28" s="23">
        <f t="shared" si="1"/>
        <v>0.11644444444444445</v>
      </c>
      <c r="C28" t="str">
        <f>"1  1/2"</f>
        <v>1  1/2</v>
      </c>
    </row>
    <row r="29" spans="1:3" x14ac:dyDescent="0.25">
      <c r="A29">
        <f>13/8</f>
        <v>1.625</v>
      </c>
      <c r="B29" s="23">
        <f t="shared" si="1"/>
        <v>9.9218934911242604E-2</v>
      </c>
      <c r="C29" t="str">
        <f>"1  5/8"</f>
        <v>1  5/8</v>
      </c>
    </row>
    <row r="30" spans="1:3" x14ac:dyDescent="0.25">
      <c r="A30">
        <f>7/4</f>
        <v>1.75</v>
      </c>
      <c r="B30" s="23">
        <f t="shared" si="1"/>
        <v>8.5551020408163272E-2</v>
      </c>
      <c r="C30" t="str">
        <f>"1  3/4"</f>
        <v>1  3/4</v>
      </c>
    </row>
    <row r="31" spans="1:3" x14ac:dyDescent="0.25">
      <c r="A31">
        <f>15/8</f>
        <v>1.875</v>
      </c>
      <c r="B31" s="23">
        <f t="shared" si="1"/>
        <v>7.4524444444444449E-2</v>
      </c>
      <c r="C31" t="str">
        <f>"1  7/8"</f>
        <v>1  7/8</v>
      </c>
    </row>
    <row r="32" spans="1:3" x14ac:dyDescent="0.25">
      <c r="A32">
        <f>2</f>
        <v>2</v>
      </c>
      <c r="B32" s="23">
        <f t="shared" si="1"/>
        <v>6.5500000000000003E-2</v>
      </c>
      <c r="C32" t="str">
        <f>"2"</f>
        <v>2</v>
      </c>
    </row>
    <row r="33" spans="1:3" x14ac:dyDescent="0.25">
      <c r="A33">
        <f>17/8</f>
        <v>2.125</v>
      </c>
      <c r="B33" s="23">
        <f t="shared" si="1"/>
        <v>5.8020761245674742E-2</v>
      </c>
      <c r="C33" t="str">
        <f>"2  1/8"</f>
        <v>2  1/8</v>
      </c>
    </row>
    <row r="34" spans="1:3" x14ac:dyDescent="0.25">
      <c r="A34">
        <f>9/4</f>
        <v>2.25</v>
      </c>
      <c r="B34" s="23">
        <f t="shared" si="1"/>
        <v>5.175308641975309E-2</v>
      </c>
      <c r="C34" t="str">
        <f>"2  1/4"</f>
        <v>2  1/4</v>
      </c>
    </row>
    <row r="35" spans="1:3" x14ac:dyDescent="0.25">
      <c r="A35">
        <f>19/8</f>
        <v>2.375</v>
      </c>
      <c r="B35" s="23">
        <f t="shared" si="1"/>
        <v>4.6448753462603881E-2</v>
      </c>
      <c r="C35" t="str">
        <f>"2  3/8"</f>
        <v>2  3/8</v>
      </c>
    </row>
    <row r="36" spans="1:3" x14ac:dyDescent="0.25">
      <c r="A36">
        <f>5/2</f>
        <v>2.5</v>
      </c>
      <c r="B36" s="23">
        <f t="shared" si="1"/>
        <v>4.1919999999999999E-2</v>
      </c>
      <c r="C36" t="str">
        <f>"2  1/2"</f>
        <v>2  1/2</v>
      </c>
    </row>
    <row r="37" spans="1:3" x14ac:dyDescent="0.25">
      <c r="A37">
        <f>21/8</f>
        <v>2.625</v>
      </c>
      <c r="B37" s="23">
        <f t="shared" ref="B37:B56" si="2">0.262/(A37*A37)</f>
        <v>3.8022675736961456E-2</v>
      </c>
      <c r="C37" t="str">
        <f>"2  5/8"</f>
        <v>2  5/8</v>
      </c>
    </row>
    <row r="38" spans="1:3" x14ac:dyDescent="0.25">
      <c r="A38">
        <f>11/4</f>
        <v>2.75</v>
      </c>
      <c r="B38" s="23">
        <f t="shared" si="2"/>
        <v>3.4644628099173555E-2</v>
      </c>
      <c r="C38" t="str">
        <f>"2  3/4"</f>
        <v>2  3/4</v>
      </c>
    </row>
    <row r="39" spans="1:3" x14ac:dyDescent="0.25">
      <c r="A39">
        <f>23/8</f>
        <v>2.875</v>
      </c>
      <c r="B39" s="23">
        <f t="shared" si="2"/>
        <v>3.169754253308129E-2</v>
      </c>
      <c r="C39" t="str">
        <f>"2  7/8"</f>
        <v>2  7/8</v>
      </c>
    </row>
    <row r="40" spans="1:3" x14ac:dyDescent="0.25">
      <c r="A40">
        <f>3</f>
        <v>3</v>
      </c>
      <c r="B40" s="23">
        <f t="shared" si="2"/>
        <v>2.9111111111111112E-2</v>
      </c>
      <c r="C40" t="str">
        <f>"3"</f>
        <v>3</v>
      </c>
    </row>
    <row r="41" spans="1:3" x14ac:dyDescent="0.25">
      <c r="A41">
        <f>25/8</f>
        <v>3.125</v>
      </c>
      <c r="B41" s="23">
        <f t="shared" si="2"/>
        <v>2.68288E-2</v>
      </c>
      <c r="C41" t="str">
        <f>"3  1/8"</f>
        <v>3  1/8</v>
      </c>
    </row>
    <row r="42" spans="1:3" x14ac:dyDescent="0.25">
      <c r="A42">
        <f>13/4</f>
        <v>3.25</v>
      </c>
      <c r="B42" s="23">
        <f t="shared" si="2"/>
        <v>2.4804733727810651E-2</v>
      </c>
      <c r="C42" t="str">
        <f>"3  1/4"</f>
        <v>3  1/4</v>
      </c>
    </row>
    <row r="43" spans="1:3" x14ac:dyDescent="0.25">
      <c r="A43">
        <f>27/8</f>
        <v>3.375</v>
      </c>
      <c r="B43" s="23">
        <f t="shared" si="2"/>
        <v>2.3001371742112482E-2</v>
      </c>
      <c r="C43" t="str">
        <f>"3  3/8"</f>
        <v>3  3/8</v>
      </c>
    </row>
    <row r="44" spans="1:3" x14ac:dyDescent="0.25">
      <c r="A44">
        <f>7/2</f>
        <v>3.5</v>
      </c>
      <c r="B44" s="23">
        <f t="shared" si="2"/>
        <v>2.1387755102040818E-2</v>
      </c>
      <c r="C44" t="str">
        <f>"3  1/2"</f>
        <v>3  1/2</v>
      </c>
    </row>
    <row r="45" spans="1:3" x14ac:dyDescent="0.25">
      <c r="A45">
        <f>29/8</f>
        <v>3.625</v>
      </c>
      <c r="B45" s="23">
        <f t="shared" si="2"/>
        <v>1.993816884661118E-2</v>
      </c>
      <c r="C45" t="str">
        <f>"3  5/8"</f>
        <v>3  5/8</v>
      </c>
    </row>
    <row r="46" spans="1:3" x14ac:dyDescent="0.25">
      <c r="A46">
        <f>15/4</f>
        <v>3.75</v>
      </c>
      <c r="B46" s="23">
        <f t="shared" si="2"/>
        <v>1.8631111111111112E-2</v>
      </c>
      <c r="C46" t="str">
        <f>"3  3/4"</f>
        <v>3  3/4</v>
      </c>
    </row>
    <row r="47" spans="1:3" x14ac:dyDescent="0.25">
      <c r="A47">
        <f>31/8</f>
        <v>3.875</v>
      </c>
      <c r="B47" s="23">
        <f t="shared" si="2"/>
        <v>1.7448491155046826E-2</v>
      </c>
      <c r="C47" t="str">
        <f>"3  7/8"</f>
        <v>3  7/8</v>
      </c>
    </row>
    <row r="48" spans="1:3" x14ac:dyDescent="0.25">
      <c r="A48">
        <f>4</f>
        <v>4</v>
      </c>
      <c r="B48" s="23">
        <f t="shared" si="2"/>
        <v>1.6375000000000001E-2</v>
      </c>
      <c r="C48" t="str">
        <f>"4"</f>
        <v>4</v>
      </c>
    </row>
    <row r="49" spans="1:3" x14ac:dyDescent="0.25">
      <c r="A49">
        <f>33/8</f>
        <v>4.125</v>
      </c>
      <c r="B49" s="23">
        <f t="shared" si="2"/>
        <v>1.5397612488521581E-2</v>
      </c>
      <c r="C49" t="str">
        <f>"4  1/8"</f>
        <v>4  1/8</v>
      </c>
    </row>
    <row r="50" spans="1:3" x14ac:dyDescent="0.25">
      <c r="A50">
        <f>17/4</f>
        <v>4.25</v>
      </c>
      <c r="B50" s="23">
        <f t="shared" si="2"/>
        <v>1.4505190311418685E-2</v>
      </c>
      <c r="C50" t="str">
        <f>"4  1/4"</f>
        <v>4  1/4</v>
      </c>
    </row>
    <row r="51" spans="1:3" x14ac:dyDescent="0.25">
      <c r="A51">
        <f>35/8</f>
        <v>4.375</v>
      </c>
      <c r="B51" s="23">
        <f t="shared" si="2"/>
        <v>1.3688163265306122E-2</v>
      </c>
      <c r="C51" t="str">
        <f>"4  3/8"</f>
        <v>4  3/8</v>
      </c>
    </row>
    <row r="52" spans="1:3" x14ac:dyDescent="0.25">
      <c r="A52">
        <f>9/2</f>
        <v>4.5</v>
      </c>
      <c r="B52" s="23">
        <f t="shared" si="2"/>
        <v>1.2938271604938273E-2</v>
      </c>
      <c r="C52" t="str">
        <f>"4  1/2"</f>
        <v>4  1/2</v>
      </c>
    </row>
    <row r="53" spans="1:3" x14ac:dyDescent="0.25">
      <c r="A53">
        <f>37/8</f>
        <v>4.625</v>
      </c>
      <c r="B53" s="23">
        <f t="shared" si="2"/>
        <v>1.2248356464572681E-2</v>
      </c>
      <c r="C53" t="str">
        <f>"4  5/8"</f>
        <v>4  5/8</v>
      </c>
    </row>
    <row r="54" spans="1:3" x14ac:dyDescent="0.25">
      <c r="A54">
        <f>19/4</f>
        <v>4.75</v>
      </c>
      <c r="B54" s="23">
        <f t="shared" si="2"/>
        <v>1.161218836565097E-2</v>
      </c>
      <c r="C54" t="str">
        <f>"4  3/4"</f>
        <v>4  3/4</v>
      </c>
    </row>
    <row r="55" spans="1:3" x14ac:dyDescent="0.25">
      <c r="A55">
        <f>39/8</f>
        <v>4.875</v>
      </c>
      <c r="B55" s="23">
        <f t="shared" si="2"/>
        <v>1.1024326101249178E-2</v>
      </c>
      <c r="C55" t="str">
        <f>"4  7/8"</f>
        <v>4  7/8</v>
      </c>
    </row>
    <row r="56" spans="1:3" x14ac:dyDescent="0.25">
      <c r="A56">
        <f>5</f>
        <v>5</v>
      </c>
      <c r="B56" s="23">
        <f t="shared" si="2"/>
        <v>1.048E-2</v>
      </c>
      <c r="C56" t="str">
        <f>"5"</f>
        <v>5</v>
      </c>
    </row>
  </sheetData>
  <phoneticPr fontId="0" type="noConversion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9"/>
  <sheetViews>
    <sheetView workbookViewId="0">
      <selection activeCell="G12" sqref="G12"/>
    </sheetView>
  </sheetViews>
  <sheetFormatPr baseColWidth="10" defaultRowHeight="12.5" x14ac:dyDescent="0.25"/>
  <cols>
    <col min="1" max="5" width="9.1796875" customWidth="1"/>
    <col min="6" max="6" width="10.453125" customWidth="1"/>
    <col min="7" max="7" width="12.54296875" customWidth="1"/>
    <col min="8" max="8" width="9.1796875" customWidth="1"/>
    <col min="9" max="9" width="13.81640625" customWidth="1"/>
    <col min="10" max="10" width="10.7265625" customWidth="1"/>
    <col min="11" max="256" width="9.1796875" customWidth="1"/>
  </cols>
  <sheetData>
    <row r="2" spans="3:10" ht="13" x14ac:dyDescent="0.3">
      <c r="C2" s="22"/>
    </row>
    <row r="5" spans="3:10" ht="13" x14ac:dyDescent="0.3">
      <c r="D5" s="29">
        <f>((G10-G8)/2)-G11</f>
        <v>1.5</v>
      </c>
      <c r="F5" s="26" t="s">
        <v>20</v>
      </c>
      <c r="G5">
        <v>20</v>
      </c>
      <c r="H5" t="s">
        <v>16</v>
      </c>
      <c r="I5" s="2" t="s">
        <v>21</v>
      </c>
      <c r="J5" s="25">
        <f>HLOOKUP('K factors'!B2,'K factors'!A2:B56,G5)</f>
        <v>0.46577777777777779</v>
      </c>
    </row>
    <row r="6" spans="3:10" ht="13" x14ac:dyDescent="0.3">
      <c r="F6" s="27"/>
    </row>
    <row r="7" spans="3:10" ht="13" x14ac:dyDescent="0.3">
      <c r="F7" s="28"/>
    </row>
    <row r="8" spans="3:10" ht="13" x14ac:dyDescent="0.3">
      <c r="F8" s="28" t="s">
        <v>22</v>
      </c>
      <c r="G8" s="24">
        <v>13</v>
      </c>
      <c r="H8" t="s">
        <v>16</v>
      </c>
    </row>
    <row r="9" spans="3:10" ht="13" x14ac:dyDescent="0.3">
      <c r="F9" s="28" t="s">
        <v>23</v>
      </c>
      <c r="G9" s="24">
        <v>12</v>
      </c>
      <c r="H9" t="s">
        <v>16</v>
      </c>
    </row>
    <row r="10" spans="3:10" ht="13" x14ac:dyDescent="0.3">
      <c r="F10" s="28" t="s">
        <v>24</v>
      </c>
      <c r="G10" s="24">
        <v>20</v>
      </c>
      <c r="H10" t="s">
        <v>16</v>
      </c>
    </row>
    <row r="11" spans="3:10" ht="13" x14ac:dyDescent="0.3">
      <c r="F11" s="28" t="s">
        <v>25</v>
      </c>
      <c r="G11" s="24">
        <v>2</v>
      </c>
      <c r="H11" t="s">
        <v>16</v>
      </c>
    </row>
    <row r="12" spans="3:10" ht="13" x14ac:dyDescent="0.3">
      <c r="F12" s="27"/>
    </row>
    <row r="13" spans="3:10" ht="13.5" thickBot="1" x14ac:dyDescent="0.35">
      <c r="F13" s="27"/>
    </row>
    <row r="14" spans="3:10" ht="13.5" thickBot="1" x14ac:dyDescent="0.35">
      <c r="F14" s="26" t="s">
        <v>26</v>
      </c>
      <c r="G14" s="31">
        <f>(D5+G8)*D5*G9*J5</f>
        <v>121.568</v>
      </c>
      <c r="H14" t="s">
        <v>4</v>
      </c>
    </row>
    <row r="15" spans="3:10" ht="13.5" thickBot="1" x14ac:dyDescent="0.35">
      <c r="G15" s="30">
        <f>G14*0.305</f>
        <v>37.078240000000001</v>
      </c>
      <c r="H15" t="s">
        <v>3</v>
      </c>
    </row>
    <row r="19" spans="1:1" x14ac:dyDescent="0.25">
      <c r="A19" s="32" t="s">
        <v>18</v>
      </c>
    </row>
  </sheetData>
  <phoneticPr fontId="0" type="noConversion"/>
  <pageMargins left="0.78740157499999996" right="0.78740157499999996" top="0.984251969" bottom="0.984251969" header="0.5" footer="0.5"/>
  <pageSetup orientation="portrait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4" r:id="rId4" name="Drop Down 22">
              <controlPr defaultSize="0" autoFill="0" autoLine="0" autoPict="0">
                <anchor moveWithCells="1">
                  <from>
                    <xdr:col>6</xdr:col>
                    <xdr:colOff>31750</xdr:colOff>
                    <xdr:row>3</xdr:row>
                    <xdr:rowOff>146050</xdr:rowOff>
                  </from>
                  <to>
                    <xdr:col>7</xdr:col>
                    <xdr:colOff>0</xdr:colOff>
                    <xdr:row>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D17" sqref="D17"/>
    </sheetView>
  </sheetViews>
  <sheetFormatPr baseColWidth="10" defaultRowHeight="12.5" x14ac:dyDescent="0.25"/>
  <cols>
    <col min="1" max="256" width="9.1796875" customWidth="1"/>
  </cols>
  <sheetData>
    <row r="1" spans="1:3" s="34" customFormat="1" ht="23" x14ac:dyDescent="0.5">
      <c r="A1" s="33" t="s">
        <v>29</v>
      </c>
    </row>
    <row r="2" spans="1:3" s="36" customFormat="1" ht="15.5" x14ac:dyDescent="0.35">
      <c r="A2" s="35" t="s">
        <v>30</v>
      </c>
    </row>
    <row r="3" spans="1:3" s="36" customFormat="1" ht="15.5" x14ac:dyDescent="0.35">
      <c r="A3" s="37" t="s">
        <v>31</v>
      </c>
    </row>
    <row r="4" spans="1:3" s="38" customFormat="1" ht="15.5" x14ac:dyDescent="0.35"/>
    <row r="5" spans="1:3" s="39" customFormat="1" ht="23" x14ac:dyDescent="0.5">
      <c r="A5" s="33" t="s">
        <v>32</v>
      </c>
    </row>
    <row r="6" spans="1:3" s="38" customFormat="1" ht="15.5" x14ac:dyDescent="0.35">
      <c r="A6" s="40" t="s">
        <v>33</v>
      </c>
    </row>
    <row r="7" spans="1:3" s="41" customFormat="1" x14ac:dyDescent="0.25"/>
    <row r="8" spans="1:3" s="39" customFormat="1" ht="23" x14ac:dyDescent="0.5">
      <c r="A8" s="33" t="s">
        <v>34</v>
      </c>
      <c r="C8" s="42"/>
    </row>
    <row r="9" spans="1:3" s="43" customFormat="1" ht="15.5" x14ac:dyDescent="0.35">
      <c r="A9" s="35" t="s">
        <v>35</v>
      </c>
    </row>
    <row r="10" spans="1:3" s="43" customFormat="1" ht="15.5" x14ac:dyDescent="0.35">
      <c r="A10" s="44" t="s">
        <v>36</v>
      </c>
    </row>
    <row r="11" spans="1:3" s="43" customFormat="1" ht="15.5" x14ac:dyDescent="0.35">
      <c r="A11" s="40" t="s">
        <v>37</v>
      </c>
    </row>
  </sheetData>
  <phoneticPr fontId="0" type="noConversion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12"/>
  <sheetViews>
    <sheetView workbookViewId="0">
      <selection activeCell="A3" sqref="A3"/>
    </sheetView>
  </sheetViews>
  <sheetFormatPr baseColWidth="10" defaultRowHeight="12.5" x14ac:dyDescent="0.25"/>
  <cols>
    <col min="1" max="1" width="9.1796875" customWidth="1"/>
    <col min="2" max="3" width="24.54296875" customWidth="1"/>
    <col min="4" max="256" width="9.1796875" customWidth="1"/>
  </cols>
  <sheetData>
    <row r="2" spans="2:3" ht="22.5" x14ac:dyDescent="0.45">
      <c r="B2" s="45" t="s">
        <v>12</v>
      </c>
      <c r="C2" s="46">
        <v>58.3</v>
      </c>
    </row>
    <row r="3" spans="2:3" ht="22.5" x14ac:dyDescent="0.45">
      <c r="B3" s="45" t="s">
        <v>38</v>
      </c>
      <c r="C3" s="47">
        <f>C2*0.833</f>
        <v>48.563899999999997</v>
      </c>
    </row>
    <row r="4" spans="2:3" ht="22.5" x14ac:dyDescent="0.45">
      <c r="B4" s="45" t="s">
        <v>11</v>
      </c>
      <c r="C4" s="47">
        <v>724.4</v>
      </c>
    </row>
    <row r="5" spans="2:3" x14ac:dyDescent="0.25">
      <c r="C5" s="48"/>
    </row>
    <row r="6" spans="2:3" ht="22.5" x14ac:dyDescent="0.45">
      <c r="B6" s="45" t="s">
        <v>39</v>
      </c>
      <c r="C6" s="46">
        <v>40</v>
      </c>
    </row>
    <row r="7" spans="2:3" ht="22.5" x14ac:dyDescent="0.45">
      <c r="B7" s="45" t="s">
        <v>12</v>
      </c>
      <c r="C7" s="47">
        <f>C6/0.833</f>
        <v>48.019207683073233</v>
      </c>
    </row>
    <row r="8" spans="2:3" ht="22.5" x14ac:dyDescent="0.45">
      <c r="B8" s="45" t="s">
        <v>11</v>
      </c>
      <c r="C8" s="47">
        <f>C6*4.544</f>
        <v>181.76</v>
      </c>
    </row>
    <row r="10" spans="2:3" ht="22.5" x14ac:dyDescent="0.45">
      <c r="B10" s="45" t="s">
        <v>11</v>
      </c>
      <c r="C10" s="46">
        <v>451</v>
      </c>
    </row>
    <row r="11" spans="2:3" ht="22.5" x14ac:dyDescent="0.45">
      <c r="B11" s="45" t="s">
        <v>38</v>
      </c>
      <c r="C11" s="47">
        <f>C10*0.2196</f>
        <v>99.039599999999993</v>
      </c>
    </row>
    <row r="12" spans="2:3" ht="22.5" x14ac:dyDescent="0.45">
      <c r="B12" s="45" t="s">
        <v>12</v>
      </c>
      <c r="C12" s="47">
        <f>C10*0.264</f>
        <v>119.06400000000001</v>
      </c>
    </row>
  </sheetData>
  <phoneticPr fontId="0" type="noConversion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9"/>
  <sheetViews>
    <sheetView workbookViewId="0">
      <selection activeCell="G21" sqref="G21"/>
    </sheetView>
  </sheetViews>
  <sheetFormatPr baseColWidth="10" defaultRowHeight="12.5" x14ac:dyDescent="0.25"/>
  <cols>
    <col min="1" max="3" width="9.1796875" customWidth="1"/>
    <col min="4" max="4" width="9.54296875" customWidth="1"/>
    <col min="5" max="256" width="9.1796875" customWidth="1"/>
  </cols>
  <sheetData>
    <row r="2" spans="2:6" ht="13" thickBot="1" x14ac:dyDescent="0.3">
      <c r="D2" t="s">
        <v>40</v>
      </c>
    </row>
    <row r="3" spans="2:6" ht="13" thickBot="1" x14ac:dyDescent="0.3">
      <c r="D3" s="49">
        <f>SQRT((D8*D8)+(F5*F5))</f>
        <v>2.2067558379249834</v>
      </c>
    </row>
    <row r="4" spans="2:6" ht="13" thickBot="1" x14ac:dyDescent="0.3"/>
    <row r="5" spans="2:6" ht="13.5" thickBot="1" x14ac:dyDescent="0.35">
      <c r="F5" s="50">
        <v>2</v>
      </c>
    </row>
    <row r="6" spans="2:6" ht="13" thickBot="1" x14ac:dyDescent="0.3">
      <c r="B6" t="s">
        <v>41</v>
      </c>
      <c r="C6" s="51">
        <v>65</v>
      </c>
      <c r="F6" t="s">
        <v>42</v>
      </c>
    </row>
    <row r="7" spans="2:6" ht="13" thickBot="1" x14ac:dyDescent="0.3"/>
    <row r="8" spans="2:6" ht="13.5" thickBot="1" x14ac:dyDescent="0.35">
      <c r="D8" s="52">
        <f>F5/TAN(C6*PI()/180)</f>
        <v>0.93261531630999717</v>
      </c>
    </row>
    <row r="9" spans="2:6" x14ac:dyDescent="0.25">
      <c r="D9" t="s">
        <v>43</v>
      </c>
    </row>
  </sheetData>
  <phoneticPr fontId="0" type="noConversion"/>
  <pageMargins left="0.78740157499999996" right="0.78740157499999996" top="0.984251969" bottom="0.984251969" header="0.5" footer="0.5"/>
  <headerFooter alignWithMargins="0"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Box volume</vt:lpstr>
      <vt:lpstr>Tank volume</vt:lpstr>
      <vt:lpstr>K factors</vt:lpstr>
      <vt:lpstr>Drum or reel capacity</vt:lpstr>
      <vt:lpstr>OLD FORMULA GALLON</vt:lpstr>
      <vt:lpstr>Gallons US Imperial Litres</vt:lpstr>
      <vt:lpstr>STAIR LENGTH</vt:lpstr>
    </vt:vector>
  </TitlesOfParts>
  <Company>Boart Longyear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Lugli</dc:creator>
  <cp:lastModifiedBy>Pascal Roguet</cp:lastModifiedBy>
  <cp:lastPrinted>1998-04-22T12:49:50Z</cp:lastPrinted>
  <dcterms:created xsi:type="dcterms:W3CDTF">1998-04-20T19:01:23Z</dcterms:created>
  <dcterms:modified xsi:type="dcterms:W3CDTF">2024-01-13T18:47:37Z</dcterms:modified>
</cp:coreProperties>
</file>